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workbookProtection workbookPassword="97AE" lockStructure="1"/>
  <bookViews>
    <workbookView xWindow="0" yWindow="300" windowWidth="16380" windowHeight="7890" tabRatio="893" activeTab="12"/>
  </bookViews>
  <sheets>
    <sheet name="Vorderseite" sheetId="1" r:id="rId1"/>
    <sheet name="Rückseite" sheetId="2" r:id="rId2"/>
    <sheet name="Ausrüstung" sheetId="3" r:id="rId3"/>
    <sheet name="Zauber" sheetId="4" r:id="rId4"/>
    <sheet name="Beschreibung" sheetId="5" r:id="rId5"/>
    <sheet name="Tiere" sheetId="6" r:id="rId6"/>
    <sheet name="Lernen" sheetId="16" r:id="rId7"/>
    <sheet name="Notizzettel" sheetId="13" r:id="rId8"/>
    <sheet name="Zauberliste" sheetId="10" state="hidden" r:id="rId9"/>
    <sheet name="Waffenliste" sheetId="11" state="hidden" r:id="rId10"/>
    <sheet name="Notizen" sheetId="8" state="hidden" r:id="rId11"/>
    <sheet name="Erschaffungshilfe" sheetId="12" r:id="rId12"/>
    <sheet name="Anleitung" sheetId="14" r:id="rId13"/>
  </sheets>
  <definedNames>
    <definedName name="_xlnm._FilterDatabase" localSheetId="8" hidden="1">Zauberliste!$A$1:$R$547</definedName>
    <definedName name="AbB">Vorderseite!$S$19</definedName>
    <definedName name="Abwehr">Vorderseite!$AQ$21</definedName>
    <definedName name="AbwResiFW">Notizen!$C$46:$D$56</definedName>
    <definedName name="Alter">Notizen!$G$71</definedName>
    <definedName name="AnB">Vorderseite!$M$19</definedName>
    <definedName name="AP">Erschaffungshilfe!$H$33</definedName>
    <definedName name="APB">Vorderseite!$A$19</definedName>
    <definedName name="Athletik">Rückseite!$O$42</definedName>
    <definedName name="Au">Notizen!$D$65</definedName>
    <definedName name="AuB">Notizen!$E$65</definedName>
    <definedName name="BAusrüstung">Rückseite!$BB$13</definedName>
    <definedName name="BErschaffung">Notizen!$F$44:$G$49</definedName>
    <definedName name="BLaufen">Rückseite!$AS$13</definedName>
    <definedName name="BRasse">Vorderseite!$AF$15</definedName>
    <definedName name="BRüstung">Rückseite!$AW$13</definedName>
    <definedName name="_xlnm.Print_Area" localSheetId="6">Lernen!$A$1:$BF$67</definedName>
    <definedName name="_xlnm.Print_Titles" localSheetId="6">Lernen!$1:$3</definedName>
    <definedName name="_xlnm.Print_Titles" localSheetId="3">Zauber!$1:$4</definedName>
    <definedName name="EigBonus">Notizen!$C$39:$D$43</definedName>
    <definedName name="EPTabelle">Notizen!$C$71:$D$122</definedName>
    <definedName name="GB">Vorderseite!$AP$15</definedName>
    <definedName name="Gelände">Erschaffungshilfe!$E$31</definedName>
    <definedName name="GeländeListe">Notizen!$A$96:$A$98</definedName>
    <definedName name="Geschlecht">Vorderseite!$Q$3</definedName>
    <definedName name="GeschlechtListe">Notizen!$A$34:$A$35</definedName>
    <definedName name="Gewicht">Vorderseite!$AJ$3</definedName>
    <definedName name="Gewichtsbelastung">Ausrüstung!$BB$72</definedName>
    <definedName name="GG">Vorderseite!$BD$13</definedName>
    <definedName name="GiftT">Vorderseite!$P$21</definedName>
    <definedName name="Grad">Vorderseite!$AM$1</definedName>
    <definedName name="Groesse">Erschaffungshilfe!$I$22:$I$25</definedName>
    <definedName name="Größe">Vorderseite!$AA$3</definedName>
    <definedName name="Gs">Notizen!$D$60</definedName>
    <definedName name="GsB">Notizen!$E$60</definedName>
    <definedName name="Gw">Notizen!$D$61</definedName>
    <definedName name="GwB">Notizen!$E$61</definedName>
    <definedName name="Händigkeit">Notizen!$G$69</definedName>
    <definedName name="Heimat">Vorderseite!$E$5</definedName>
    <definedName name="Höchstlast">Rückseite!$AG$30</definedName>
    <definedName name="In">Notizen!$D$63</definedName>
    <definedName name="InB">Notizen!$E$63</definedName>
    <definedName name="KAW">Vorderseite!$AP$13</definedName>
    <definedName name="Ko">Notizen!$D$62</definedName>
    <definedName name="KoB">Notizen!$E$62</definedName>
    <definedName name="Land">Notizen!$C$16:$C$36</definedName>
    <definedName name="LandSprache">Notizen!$C$16:$D$36</definedName>
    <definedName name="Last">Rückseite!$X$33</definedName>
    <definedName name="Laufen">Rückseite!$O$64</definedName>
    <definedName name="Lerneinheiten">Notizen!$O$2:$AB$32</definedName>
    <definedName name="LP">Notizen!$G$41</definedName>
    <definedName name="MagischeStärke">Notizen!$A$101:$A$103</definedName>
    <definedName name="Name">Vorderseite!$E$1</definedName>
    <definedName name="Normallast">Rückseite!$AG$28</definedName>
    <definedName name="pA">Notizen!$D$66</definedName>
    <definedName name="pAB">Notizen!$E$66</definedName>
    <definedName name="phsB">Vorderseite!$AK$19</definedName>
    <definedName name="phsR">Vorderseite!$AI$21</definedName>
    <definedName name="psyB">Vorderseite!$AE$19</definedName>
    <definedName name="psyR">Vorderseite!$Z$21</definedName>
    <definedName name="Rasse">Vorderseite!$E$3</definedName>
    <definedName name="Rasse_weiblich">Notizen!$C$2:$D$7</definedName>
    <definedName name="RasseListe">Notizen!$C$2:$C$7</definedName>
    <definedName name="RK">Rückseite!$AY$9</definedName>
    <definedName name="RKListe">Notizen!$A$38:$A$43</definedName>
    <definedName name="SchB">Vorderseite!$G$19</definedName>
    <definedName name="Schublast">Rückseite!$AG$31</definedName>
    <definedName name="schwereLast">Rückseite!$AG$29</definedName>
    <definedName name="SG">Vorderseite!$BD$15</definedName>
    <definedName name="Spezialwaffen">Notizen!$A$46:$A$93</definedName>
    <definedName name="SpezMagier">Vorderseite!$AY$9</definedName>
    <definedName name="SpezWaffe1">Vorderseite!$G$9</definedName>
    <definedName name="SpezWaffe2">Vorderseite!$Q$9</definedName>
    <definedName name="SpezWaffe3">Vorderseite!$AA$9</definedName>
    <definedName name="Spieler">Vorderseite!$AU$1</definedName>
    <definedName name="St">Notizen!$D$59</definedName>
    <definedName name="Stand">Notizen!$G$51</definedName>
    <definedName name="StandListe">Notizen!$C$10:$D$13</definedName>
    <definedName name="StandMod">Notizen!$I$30:$L$60</definedName>
    <definedName name="StB">Notizen!$E$59</definedName>
    <definedName name="Totem">Vorderseite!$AY$11</definedName>
    <definedName name="Traglast">Notizen!$I$20:$M$26</definedName>
    <definedName name="Typ">Vorderseite!$X$1</definedName>
    <definedName name="Typ_Abkz">Notizen!$I$30:$K$60</definedName>
    <definedName name="Typ_weiblich">Notizen!$I$30:$J$60</definedName>
    <definedName name="TypKämZau">Notizen!$I$30:$M$60</definedName>
    <definedName name="TypListe">Notizen!$I$30:$I$60</definedName>
    <definedName name="Typvoll">Rückseite!$S$6</definedName>
    <definedName name="Verteidigungswaffen">Waffenliste!$A$71:$A$77</definedName>
    <definedName name="Waffen">Waffenliste!$A$2:$A$73</definedName>
    <definedName name="Waffengruppe">Notizen!$A$2:$A$22</definedName>
    <definedName name="Waffengruppe_gelernt">Rückseite!$AO$54:$BD$60</definedName>
    <definedName name="Waffenliste">Waffenliste!$A$2:$K$75</definedName>
    <definedName name="Wk">Notizen!$D$67</definedName>
    <definedName name="WkB">Notizen!$E$67</definedName>
    <definedName name="ZauB">Vorderseite!$Y$19</definedName>
    <definedName name="Zauber">Zauberliste!$A$2:$A$607</definedName>
    <definedName name="Zauberliste">Zauberliste!$A$2:$R$607</definedName>
    <definedName name="Zaubern">Vorderseite!$G$21</definedName>
    <definedName name="ZaubFW">Notizen!$C$46:$E$56</definedName>
    <definedName name="ZauProzess">Notizen!$A$25:$A$31</definedName>
    <definedName name="Zt">Notizen!$D$64</definedName>
    <definedName name="ZtB">Notizen!$E$64</definedName>
  </definedNames>
  <calcPr calcId="145621"/>
</workbook>
</file>

<file path=xl/calcChain.xml><?xml version="1.0" encoding="utf-8"?>
<calcChain xmlns="http://schemas.openxmlformats.org/spreadsheetml/2006/main">
  <c r="A11" i="4" l="1"/>
  <c r="N11" i="4"/>
  <c r="R11" i="4"/>
  <c r="V11" i="4"/>
  <c r="A12" i="4"/>
  <c r="N12" i="4"/>
  <c r="R12" i="4"/>
  <c r="V12" i="4"/>
  <c r="D13" i="4"/>
  <c r="K13" i="4"/>
  <c r="S13" i="4"/>
  <c r="Y13" i="4"/>
  <c r="AD13" i="4"/>
  <c r="A14" i="4"/>
  <c r="N14" i="4"/>
  <c r="R14" i="4"/>
  <c r="V14" i="4"/>
  <c r="A15" i="4"/>
  <c r="N15" i="4"/>
  <c r="R15" i="4"/>
  <c r="V15" i="4"/>
  <c r="D16" i="4"/>
  <c r="K16" i="4"/>
  <c r="S16" i="4"/>
  <c r="Y16" i="4" s="1"/>
  <c r="AD16" i="4"/>
  <c r="A17" i="4"/>
  <c r="N17" i="4"/>
  <c r="R17" i="4"/>
  <c r="V17" i="4"/>
  <c r="A18" i="4"/>
  <c r="N18" i="4"/>
  <c r="R18" i="4"/>
  <c r="V18" i="4"/>
  <c r="D19" i="4"/>
  <c r="K19" i="4"/>
  <c r="S19" i="4"/>
  <c r="Y19" i="4"/>
  <c r="AD19" i="4"/>
  <c r="A20" i="4"/>
  <c r="N20" i="4"/>
  <c r="R20" i="4"/>
  <c r="V20" i="4"/>
  <c r="A21" i="4"/>
  <c r="N21" i="4"/>
  <c r="R21" i="4"/>
  <c r="V21" i="4"/>
  <c r="D22" i="4"/>
  <c r="K22" i="4"/>
  <c r="S22" i="4"/>
  <c r="Y22" i="4" s="1"/>
  <c r="AD22" i="4"/>
  <c r="A23" i="4"/>
  <c r="N23" i="4"/>
  <c r="R23" i="4"/>
  <c r="V23" i="4"/>
  <c r="A24" i="4"/>
  <c r="N24" i="4"/>
  <c r="R24" i="4"/>
  <c r="V24" i="4"/>
  <c r="D25" i="4"/>
  <c r="K25" i="4"/>
  <c r="S25" i="4"/>
  <c r="Y25" i="4"/>
  <c r="AD25" i="4"/>
  <c r="A26" i="4"/>
  <c r="N26" i="4"/>
  <c r="R26" i="4"/>
  <c r="V26" i="4"/>
  <c r="A27" i="4"/>
  <c r="N27" i="4"/>
  <c r="R27" i="4"/>
  <c r="V27" i="4"/>
  <c r="D28" i="4"/>
  <c r="K28" i="4"/>
  <c r="S28" i="4"/>
  <c r="Y28" i="4" s="1"/>
  <c r="AD28" i="4"/>
  <c r="A29" i="4"/>
  <c r="N29" i="4"/>
  <c r="R29" i="4"/>
  <c r="V29" i="4"/>
  <c r="A30" i="4"/>
  <c r="N30" i="4"/>
  <c r="R30" i="4"/>
  <c r="V30" i="4"/>
  <c r="D31" i="4"/>
  <c r="K31" i="4"/>
  <c r="S31" i="4"/>
  <c r="Y31" i="4"/>
  <c r="AD31" i="4"/>
  <c r="A32" i="4"/>
  <c r="N32" i="4"/>
  <c r="R32" i="4"/>
  <c r="V32" i="4"/>
  <c r="A33" i="4"/>
  <c r="N33" i="4"/>
  <c r="R33" i="4"/>
  <c r="V33" i="4"/>
  <c r="D34" i="4"/>
  <c r="K34" i="4"/>
  <c r="S34" i="4"/>
  <c r="Y34" i="4" s="1"/>
  <c r="AD34" i="4"/>
  <c r="A35" i="4"/>
  <c r="N35" i="4"/>
  <c r="R35" i="4"/>
  <c r="V35" i="4"/>
  <c r="A36" i="4"/>
  <c r="N36" i="4"/>
  <c r="R36" i="4"/>
  <c r="V36" i="4"/>
  <c r="D37" i="4"/>
  <c r="K37" i="4"/>
  <c r="S37" i="4"/>
  <c r="Y37" i="4"/>
  <c r="AD37" i="4"/>
  <c r="A38" i="4"/>
  <c r="N38" i="4"/>
  <c r="R38" i="4"/>
  <c r="V38" i="4"/>
  <c r="A39" i="4"/>
  <c r="N39" i="4"/>
  <c r="R39" i="4"/>
  <c r="V39" i="4"/>
  <c r="D40" i="4"/>
  <c r="K40" i="4"/>
  <c r="S40" i="4"/>
  <c r="Y40" i="4" s="1"/>
  <c r="AD40" i="4"/>
  <c r="A41" i="4"/>
  <c r="N41" i="4"/>
  <c r="R41" i="4"/>
  <c r="V41" i="4"/>
  <c r="A42" i="4"/>
  <c r="N42" i="4"/>
  <c r="R42" i="4"/>
  <c r="V42" i="4"/>
  <c r="D43" i="4"/>
  <c r="K43" i="4"/>
  <c r="S43" i="4"/>
  <c r="Y43" i="4"/>
  <c r="AD43" i="4"/>
  <c r="A44" i="4"/>
  <c r="N44" i="4"/>
  <c r="R44" i="4"/>
  <c r="V44" i="4"/>
  <c r="A45" i="4"/>
  <c r="N45" i="4"/>
  <c r="R45" i="4"/>
  <c r="V45" i="4"/>
  <c r="D46" i="4"/>
  <c r="K46" i="4"/>
  <c r="S46" i="4"/>
  <c r="Y46" i="4" s="1"/>
  <c r="AD46" i="4"/>
  <c r="A47" i="4"/>
  <c r="N47" i="4"/>
  <c r="R47" i="4"/>
  <c r="V47" i="4"/>
  <c r="A48" i="4"/>
  <c r="N48" i="4"/>
  <c r="R48" i="4"/>
  <c r="V48" i="4"/>
  <c r="D49" i="4"/>
  <c r="K49" i="4"/>
  <c r="S49" i="4"/>
  <c r="Y49" i="4"/>
  <c r="AD49" i="4"/>
  <c r="A50" i="4"/>
  <c r="N50" i="4"/>
  <c r="R50" i="4"/>
  <c r="V50" i="4"/>
  <c r="A51" i="4"/>
  <c r="N51" i="4"/>
  <c r="R51" i="4"/>
  <c r="V51" i="4"/>
  <c r="D52" i="4"/>
  <c r="K52" i="4"/>
  <c r="S52" i="4"/>
  <c r="Y52" i="4" s="1"/>
  <c r="AD52" i="4"/>
  <c r="A53" i="4"/>
  <c r="N53" i="4"/>
  <c r="R53" i="4"/>
  <c r="V53" i="4"/>
  <c r="A54" i="4"/>
  <c r="N54" i="4"/>
  <c r="R54" i="4"/>
  <c r="V54" i="4"/>
  <c r="D55" i="4"/>
  <c r="K55" i="4"/>
  <c r="S55" i="4"/>
  <c r="Y55" i="4"/>
  <c r="AD55" i="4"/>
  <c r="A56" i="4"/>
  <c r="N56" i="4"/>
  <c r="R56" i="4"/>
  <c r="V56" i="4"/>
  <c r="A57" i="4"/>
  <c r="N57" i="4"/>
  <c r="R57" i="4"/>
  <c r="V57" i="4"/>
  <c r="D58" i="4"/>
  <c r="K58" i="4"/>
  <c r="S58" i="4"/>
  <c r="Y58" i="4" s="1"/>
  <c r="AD58" i="4"/>
  <c r="A59" i="4"/>
  <c r="N59" i="4"/>
  <c r="R59" i="4"/>
  <c r="V59" i="4"/>
  <c r="A60" i="4"/>
  <c r="N60" i="4"/>
  <c r="R60" i="4"/>
  <c r="V60" i="4"/>
  <c r="D61" i="4"/>
  <c r="K61" i="4"/>
  <c r="S61" i="4"/>
  <c r="Y61" i="4"/>
  <c r="AD61" i="4"/>
  <c r="X18" i="8" l="1"/>
  <c r="K15" i="10" l="1"/>
  <c r="K17" i="10"/>
  <c r="K67" i="10"/>
  <c r="K125" i="10"/>
  <c r="K143" i="10"/>
  <c r="K260" i="10"/>
  <c r="K264" i="10"/>
  <c r="K299" i="10"/>
  <c r="K331" i="10"/>
  <c r="K345" i="10"/>
  <c r="K358" i="10"/>
  <c r="K371" i="10"/>
  <c r="K375" i="10"/>
  <c r="K376" i="10"/>
  <c r="K434" i="10"/>
  <c r="K455" i="10"/>
  <c r="K477" i="10"/>
  <c r="K488" i="10"/>
  <c r="K499" i="10"/>
  <c r="K504" i="10"/>
  <c r="K551" i="10"/>
  <c r="K560" i="10"/>
  <c r="K563" i="10"/>
  <c r="K14" i="10"/>
  <c r="K22" i="10"/>
  <c r="K57" i="10"/>
  <c r="K216" i="10"/>
  <c r="K235" i="10"/>
  <c r="K232" i="10"/>
  <c r="K311" i="10"/>
  <c r="K361" i="10"/>
  <c r="K495" i="10"/>
  <c r="K510" i="10"/>
  <c r="K559" i="10"/>
  <c r="K565" i="10"/>
  <c r="K31" i="10"/>
  <c r="K32" i="10"/>
  <c r="K118" i="10"/>
  <c r="K166" i="10"/>
  <c r="K211" i="10"/>
  <c r="K277" i="10"/>
  <c r="K298" i="10"/>
  <c r="K357" i="10"/>
  <c r="K360" i="10"/>
  <c r="K423" i="10"/>
  <c r="K427" i="10"/>
  <c r="K600" i="10"/>
  <c r="K94" i="10"/>
  <c r="K95" i="10"/>
  <c r="K607" i="10"/>
  <c r="K16" i="10"/>
  <c r="K261" i="10"/>
  <c r="K359" i="10"/>
  <c r="K478" i="10"/>
  <c r="K552" i="10"/>
  <c r="K561" i="10"/>
  <c r="K99" i="10"/>
  <c r="K100" i="10"/>
  <c r="K101" i="10"/>
  <c r="K107" i="10"/>
  <c r="K475" i="10"/>
  <c r="D7" i="4"/>
  <c r="D67" i="8" l="1"/>
  <c r="J55" i="11" l="1"/>
  <c r="J56" i="11"/>
  <c r="K79" i="10" l="1"/>
  <c r="K69" i="10"/>
  <c r="K80" i="10"/>
  <c r="K81" i="10"/>
  <c r="K82" i="10"/>
  <c r="K70" i="10"/>
  <c r="K71" i="10"/>
  <c r="K72" i="10"/>
  <c r="K83" i="10"/>
  <c r="K73" i="10"/>
  <c r="K74" i="10"/>
  <c r="K75" i="10"/>
  <c r="K76" i="10"/>
  <c r="K84" i="10"/>
  <c r="K77" i="10"/>
  <c r="K85" i="10"/>
  <c r="K86" i="10"/>
  <c r="K87" i="10"/>
  <c r="K78" i="10"/>
  <c r="K88" i="10"/>
  <c r="K91" i="10"/>
  <c r="K92" i="10"/>
  <c r="K93" i="10"/>
  <c r="K96" i="10"/>
  <c r="K97" i="10"/>
  <c r="K98" i="10"/>
  <c r="K106" i="10"/>
  <c r="K102" i="10"/>
  <c r="K103" i="10"/>
  <c r="K104" i="10"/>
  <c r="K105" i="10"/>
  <c r="K108" i="10"/>
  <c r="K43" i="10"/>
  <c r="K189" i="10"/>
  <c r="K514" i="10"/>
  <c r="K289" i="10" l="1"/>
  <c r="K27" i="10" l="1"/>
  <c r="K29" i="10"/>
  <c r="K33" i="10"/>
  <c r="K38" i="10"/>
  <c r="K115" i="10"/>
  <c r="K117" i="10"/>
  <c r="K170" i="10"/>
  <c r="K171" i="10"/>
  <c r="K196" i="10"/>
  <c r="K210" i="10"/>
  <c r="K212" i="10"/>
  <c r="K217" i="10"/>
  <c r="K222" i="10"/>
  <c r="K225" i="10"/>
  <c r="K244" i="10"/>
  <c r="K258" i="10"/>
  <c r="K278" i="10"/>
  <c r="K282" i="10"/>
  <c r="K287" i="10"/>
  <c r="K314" i="10"/>
  <c r="K322" i="10"/>
  <c r="K355" i="10"/>
  <c r="K368" i="10"/>
  <c r="K370" i="10"/>
  <c r="K377" i="10"/>
  <c r="K393" i="10"/>
  <c r="K402" i="10"/>
  <c r="K404" i="10"/>
  <c r="K407" i="10"/>
  <c r="K411" i="10"/>
  <c r="K445" i="10"/>
  <c r="K467" i="10"/>
  <c r="K481" i="10"/>
  <c r="K484" i="10"/>
  <c r="K485" i="10"/>
  <c r="K489" i="10"/>
  <c r="K491" i="10"/>
  <c r="K535" i="10"/>
  <c r="K555" i="10"/>
  <c r="K562" i="10"/>
  <c r="K572" i="10"/>
  <c r="K578" i="10"/>
  <c r="K603" i="10"/>
  <c r="K120" i="10"/>
  <c r="K158" i="10"/>
  <c r="K203" i="10"/>
  <c r="K209" i="10"/>
  <c r="K213" i="10"/>
  <c r="K285" i="10"/>
  <c r="K291" i="10"/>
  <c r="K295" i="10"/>
  <c r="K468" i="10"/>
  <c r="K531" i="10"/>
  <c r="K554" i="10"/>
  <c r="K558" i="10"/>
  <c r="K60" i="10"/>
  <c r="K66" i="10"/>
  <c r="K131" i="10"/>
  <c r="K134" i="10"/>
  <c r="K135" i="10"/>
  <c r="K136" i="10"/>
  <c r="K132" i="10"/>
  <c r="K137" i="10"/>
  <c r="K138" i="10"/>
  <c r="K133" i="10"/>
  <c r="K145" i="10"/>
  <c r="K148" i="10"/>
  <c r="K188" i="10"/>
  <c r="K214" i="10"/>
  <c r="K226" i="10"/>
  <c r="K227" i="10"/>
  <c r="K254" i="10"/>
  <c r="K297" i="10"/>
  <c r="K310" i="10"/>
  <c r="K373" i="10"/>
  <c r="K425" i="10"/>
  <c r="K441" i="10"/>
  <c r="K442" i="10"/>
  <c r="K446" i="10"/>
  <c r="K482" i="10"/>
  <c r="K494" i="10"/>
  <c r="K505" i="10"/>
  <c r="K564" i="10"/>
  <c r="K566" i="10"/>
  <c r="K575" i="10"/>
  <c r="K577" i="10"/>
  <c r="K582" i="10"/>
  <c r="K597" i="10"/>
  <c r="K45" i="10"/>
  <c r="K51" i="10"/>
  <c r="K53" i="10"/>
  <c r="K121" i="10"/>
  <c r="K162" i="10"/>
  <c r="K200" i="10"/>
  <c r="K208" i="10"/>
  <c r="K242" i="10"/>
  <c r="K271" i="10"/>
  <c r="K279" i="10"/>
  <c r="K280" i="10"/>
  <c r="K288" i="10"/>
  <c r="K296" i="10"/>
  <c r="K300" i="10"/>
  <c r="K321" i="10"/>
  <c r="K351" i="10"/>
  <c r="K362" i="10"/>
  <c r="K365" i="10"/>
  <c r="K378" i="10"/>
  <c r="K384" i="10"/>
  <c r="K396" i="10"/>
  <c r="K398" i="10"/>
  <c r="K452" i="10"/>
  <c r="K453" i="10"/>
  <c r="K460" i="10"/>
  <c r="K483" i="10"/>
  <c r="K538" i="10"/>
  <c r="K548" i="10"/>
  <c r="K557" i="10"/>
  <c r="K604" i="10"/>
  <c r="K10" i="10"/>
  <c r="K50" i="10"/>
  <c r="K55" i="10"/>
  <c r="K61" i="10"/>
  <c r="K65" i="10"/>
  <c r="K114" i="10"/>
  <c r="K169" i="10"/>
  <c r="K174" i="10"/>
  <c r="K176" i="10"/>
  <c r="K178" i="10"/>
  <c r="K206" i="10"/>
  <c r="K251" i="10"/>
  <c r="K276" i="10"/>
  <c r="K286" i="10"/>
  <c r="K389" i="10"/>
  <c r="K450" i="10"/>
  <c r="K458" i="10"/>
  <c r="K498" i="10"/>
  <c r="K542" i="10"/>
  <c r="K550" i="10"/>
  <c r="K569" i="10"/>
  <c r="K583" i="10"/>
  <c r="K590" i="10"/>
  <c r="K6" i="10"/>
  <c r="K12" i="10"/>
  <c r="K26" i="10"/>
  <c r="K34" i="10"/>
  <c r="K37" i="10"/>
  <c r="K42" i="10"/>
  <c r="K47" i="10"/>
  <c r="K90" i="10"/>
  <c r="K110" i="10"/>
  <c r="K112" i="10"/>
  <c r="K123" i="10"/>
  <c r="K155" i="10"/>
  <c r="K157" i="10"/>
  <c r="K180" i="10"/>
  <c r="K184" i="10"/>
  <c r="K186" i="10"/>
  <c r="K191" i="10"/>
  <c r="K193" i="10"/>
  <c r="K195" i="10"/>
  <c r="K201" i="10"/>
  <c r="K204" i="10"/>
  <c r="K219" i="10"/>
  <c r="K221" i="10"/>
  <c r="K224" i="10"/>
  <c r="K231" i="10"/>
  <c r="K247" i="10"/>
  <c r="K249" i="10"/>
  <c r="K263" i="10"/>
  <c r="K270" i="10"/>
  <c r="K284" i="10"/>
  <c r="K292" i="10"/>
  <c r="K304" i="10"/>
  <c r="K309" i="10"/>
  <c r="K324" i="10"/>
  <c r="K327" i="10"/>
  <c r="K329" i="10"/>
  <c r="K335" i="10"/>
  <c r="K342" i="10"/>
  <c r="K344" i="10"/>
  <c r="K353" i="10"/>
  <c r="K364" i="10"/>
  <c r="K367" i="10"/>
  <c r="K369" i="10"/>
  <c r="K382" i="10"/>
  <c r="K391" i="10"/>
  <c r="K388" i="10"/>
  <c r="K399" i="10"/>
  <c r="K406" i="10"/>
  <c r="K415" i="10"/>
  <c r="K417" i="10"/>
  <c r="K419" i="10"/>
  <c r="K421" i="10"/>
  <c r="K430" i="10"/>
  <c r="K432" i="10"/>
  <c r="K433" i="10"/>
  <c r="K436" i="10"/>
  <c r="K439" i="10"/>
  <c r="K444" i="10"/>
  <c r="K466" i="10"/>
  <c r="K473" i="10"/>
  <c r="K480" i="10"/>
  <c r="K487" i="10"/>
  <c r="K493" i="10"/>
  <c r="K503" i="10"/>
  <c r="K507" i="10"/>
  <c r="K517" i="10"/>
  <c r="K522" i="10"/>
  <c r="K528" i="10"/>
  <c r="K529" i="10"/>
  <c r="K540" i="10"/>
  <c r="K544" i="10"/>
  <c r="K546" i="10"/>
  <c r="K556" i="10"/>
  <c r="K585" i="10"/>
  <c r="K588" i="10"/>
  <c r="K592" i="10"/>
  <c r="K595" i="10"/>
  <c r="K602" i="10"/>
  <c r="G71" i="8"/>
  <c r="AM1" i="1" l="1"/>
  <c r="H32" i="12" s="1"/>
  <c r="BD9" i="2" l="1"/>
  <c r="AA21" i="2" l="1"/>
  <c r="AA22" i="2"/>
  <c r="AA23" i="2"/>
  <c r="AA24" i="2"/>
  <c r="AA25" i="2"/>
  <c r="J70" i="11" l="1"/>
  <c r="L30" i="2" l="1"/>
  <c r="L31" i="2"/>
  <c r="L32" i="2"/>
  <c r="L33" i="2"/>
  <c r="L34" i="2"/>
  <c r="L35" i="2"/>
  <c r="L29" i="2"/>
  <c r="J77" i="11" l="1"/>
  <c r="G69" i="8" l="1"/>
  <c r="G65" i="8"/>
  <c r="E45" i="12" l="1"/>
  <c r="E46" i="12"/>
  <c r="D47" i="12"/>
  <c r="E47" i="12"/>
  <c r="AM1" i="16" l="1"/>
  <c r="AA1" i="16"/>
  <c r="AX1" i="16" l="1"/>
  <c r="E1" i="16"/>
  <c r="AQ21" i="1" l="1"/>
  <c r="N8" i="4" l="1"/>
  <c r="R8" i="4"/>
  <c r="V8" i="4"/>
  <c r="A9" i="4"/>
  <c r="N9" i="4"/>
  <c r="R9" i="4"/>
  <c r="V9" i="4"/>
  <c r="D10" i="4"/>
  <c r="K10" i="4"/>
  <c r="S10" i="4"/>
  <c r="Y10" i="4" s="1"/>
  <c r="AD10" i="4"/>
  <c r="A8" i="4" l="1"/>
  <c r="A42" i="12" l="1"/>
  <c r="AF15" i="1" l="1"/>
  <c r="G49" i="8"/>
  <c r="G48" i="8"/>
  <c r="G47" i="8"/>
  <c r="G46" i="8"/>
  <c r="G45" i="8"/>
  <c r="G44" i="8"/>
  <c r="G51" i="8"/>
  <c r="D48" i="12" l="1"/>
  <c r="E48" i="12"/>
  <c r="D59" i="8"/>
  <c r="E59" i="8"/>
  <c r="D60" i="8"/>
  <c r="E60" i="8"/>
  <c r="D61" i="8"/>
  <c r="E61" i="8"/>
  <c r="D62" i="8"/>
  <c r="G41" i="8" s="1"/>
  <c r="E62" i="8"/>
  <c r="D63" i="8"/>
  <c r="E63" i="8"/>
  <c r="AG49" i="2" s="1"/>
  <c r="D64" i="8"/>
  <c r="E64" i="8"/>
  <c r="D65" i="8"/>
  <c r="E65" i="8"/>
  <c r="D66" i="8"/>
  <c r="J81" i="8"/>
  <c r="I84" i="8"/>
  <c r="L77" i="8"/>
  <c r="M77" i="8" s="1"/>
  <c r="E66" i="8" l="1"/>
  <c r="E67" i="8"/>
  <c r="S34" i="2"/>
  <c r="S31" i="2"/>
  <c r="S33" i="2"/>
  <c r="S35" i="2"/>
  <c r="S32" i="2"/>
  <c r="G59" i="8"/>
  <c r="G67" i="8" s="1"/>
  <c r="G58" i="8"/>
  <c r="G66" i="8" s="1"/>
  <c r="G57" i="8"/>
  <c r="G56" i="8"/>
  <c r="G64" i="8" s="1"/>
  <c r="G54" i="8"/>
  <c r="G62" i="8" s="1"/>
  <c r="G55" i="8"/>
  <c r="G63" i="8" s="1"/>
  <c r="BC39" i="2"/>
  <c r="AO39" i="2"/>
  <c r="BA50" i="2" l="1"/>
  <c r="M38" i="2"/>
  <c r="Q22" i="2"/>
  <c r="Q23" i="2"/>
  <c r="Q24" i="2"/>
  <c r="K19" i="2" l="1"/>
  <c r="Q19" i="2" s="1"/>
  <c r="AA19" i="2" s="1"/>
  <c r="K20" i="2"/>
  <c r="Q20" i="2" s="1"/>
  <c r="AA20" i="2" s="1"/>
  <c r="K22" i="2"/>
  <c r="K23" i="2"/>
  <c r="K24" i="2"/>
  <c r="K25" i="2"/>
  <c r="Q25" i="2" s="1"/>
  <c r="J36" i="11"/>
  <c r="J35" i="11"/>
  <c r="J34" i="11"/>
  <c r="J11" i="11"/>
  <c r="J10" i="11"/>
  <c r="J9" i="11"/>
  <c r="O38" i="2" l="1"/>
  <c r="AI62" i="2"/>
  <c r="V25" i="1" l="1"/>
  <c r="AC25" i="1"/>
  <c r="AJ25" i="1" s="1"/>
  <c r="AQ25" i="1"/>
  <c r="AX25" i="1"/>
  <c r="BC25" i="1" l="1"/>
  <c r="AR25" i="1"/>
  <c r="AO25" i="1" s="1"/>
  <c r="AY25" i="1"/>
  <c r="AV25" i="1" s="1"/>
  <c r="BC52" i="2"/>
  <c r="S17" i="2" l="1"/>
  <c r="K470" i="10" l="1"/>
  <c r="K471" i="10"/>
  <c r="A463" i="10" l="1"/>
  <c r="AO38" i="2" l="1"/>
  <c r="K21" i="2"/>
  <c r="Q21" i="2" s="1"/>
  <c r="A25" i="1"/>
  <c r="AP15" i="1" l="1"/>
  <c r="K18" i="2"/>
  <c r="Q18" i="2" s="1"/>
  <c r="K17" i="2"/>
  <c r="AP13" i="1"/>
  <c r="A19" i="1"/>
  <c r="P21" i="1"/>
  <c r="AY32" i="2"/>
  <c r="AY35" i="2"/>
  <c r="AY31" i="2"/>
  <c r="AY34" i="2"/>
  <c r="G19" i="1"/>
  <c r="AC17" i="2" s="1"/>
  <c r="AG29" i="2"/>
  <c r="AG31" i="2"/>
  <c r="AG28" i="2"/>
  <c r="AG30" i="2"/>
  <c r="S6" i="2"/>
  <c r="AM2" i="13" s="1"/>
  <c r="A6" i="4" l="1"/>
  <c r="V6" i="4"/>
  <c r="V5" i="4"/>
  <c r="R6" i="4"/>
  <c r="R5" i="4"/>
  <c r="N6" i="4"/>
  <c r="N5" i="4"/>
  <c r="AD7" i="4"/>
  <c r="K7" i="4"/>
  <c r="AR1" i="5" l="1"/>
  <c r="AM1" i="13"/>
  <c r="E1" i="6"/>
  <c r="E1" i="5"/>
  <c r="E1" i="4"/>
  <c r="E1" i="3"/>
  <c r="U52" i="2" l="1"/>
  <c r="A63" i="2"/>
  <c r="E44" i="12"/>
  <c r="E43" i="12"/>
  <c r="E42" i="12"/>
  <c r="E41" i="12"/>
  <c r="E40" i="12"/>
  <c r="E39" i="12"/>
  <c r="E38" i="12"/>
  <c r="E37" i="12"/>
  <c r="E36" i="12"/>
  <c r="BB5" i="1"/>
  <c r="I51" i="2"/>
  <c r="U69" i="2"/>
  <c r="O59" i="2"/>
  <c r="O54" i="2"/>
  <c r="I52" i="2"/>
  <c r="O50" i="2"/>
  <c r="Y47" i="2"/>
  <c r="AI46" i="2"/>
  <c r="AA45" i="2"/>
  <c r="AI42" i="2"/>
  <c r="AA41" i="2"/>
  <c r="D13" i="1"/>
  <c r="K4" i="8" s="1"/>
  <c r="E6" i="2"/>
  <c r="AM3" i="13"/>
  <c r="AL1" i="6"/>
  <c r="AR1" i="3"/>
  <c r="AT6" i="2"/>
  <c r="AY1" i="4"/>
  <c r="AK1" i="4"/>
  <c r="AC19" i="2"/>
  <c r="AC20" i="2"/>
  <c r="AC21" i="2"/>
  <c r="AC22" i="2"/>
  <c r="AC23" i="2"/>
  <c r="AC24" i="2"/>
  <c r="AC25" i="2"/>
  <c r="Q16" i="2" l="1"/>
  <c r="D15" i="1"/>
  <c r="Z9" i="2"/>
  <c r="Y15" i="1"/>
  <c r="U9" i="2"/>
  <c r="AY28" i="2"/>
  <c r="AY33" i="2"/>
  <c r="AY29" i="2"/>
  <c r="AY30" i="2"/>
  <c r="K13" i="1"/>
  <c r="A9" i="2"/>
  <c r="P9" i="2"/>
  <c r="AW13" i="1"/>
  <c r="A8" i="13"/>
  <c r="Y13" i="1"/>
  <c r="AC16" i="2"/>
  <c r="F9" i="2"/>
  <c r="R13" i="1"/>
  <c r="K9" i="2"/>
  <c r="AO5" i="1"/>
  <c r="AF13" i="1"/>
  <c r="AG55" i="2"/>
  <c r="M19" i="1"/>
  <c r="AA18" i="2" s="1"/>
  <c r="S19" i="1"/>
  <c r="AE19" i="1"/>
  <c r="Y19" i="1"/>
  <c r="J84" i="8" l="1"/>
  <c r="BC32" i="2"/>
  <c r="BE31" i="2"/>
  <c r="BE32" i="2"/>
  <c r="BE30" i="2"/>
  <c r="AJ3" i="1"/>
  <c r="AA3" i="1"/>
  <c r="AO9" i="2"/>
  <c r="AG57" i="2"/>
  <c r="AG56" i="2"/>
  <c r="R15" i="1"/>
  <c r="AJ9" i="2"/>
  <c r="BC31" i="2"/>
  <c r="BC30" i="2"/>
  <c r="BC35" i="2"/>
  <c r="BC34" i="2"/>
  <c r="BC33" i="2"/>
  <c r="BC29" i="2"/>
  <c r="BC28" i="2"/>
  <c r="BE33" i="2"/>
  <c r="BE29" i="2"/>
  <c r="BE28" i="2"/>
  <c r="BE35" i="2"/>
  <c r="BE34" i="2"/>
  <c r="N28" i="2"/>
  <c r="M42" i="2"/>
  <c r="M61" i="2"/>
  <c r="M62" i="2"/>
  <c r="AK19" i="1"/>
  <c r="AG48" i="2"/>
  <c r="M64" i="2"/>
  <c r="M39" i="2"/>
  <c r="AG41" i="2"/>
  <c r="M56" i="2"/>
  <c r="AG43" i="2"/>
  <c r="AG39" i="2"/>
  <c r="M43" i="2"/>
  <c r="AG38" i="2"/>
  <c r="AG47" i="2"/>
  <c r="M47" i="2"/>
  <c r="M46" i="2"/>
  <c r="M44" i="2"/>
  <c r="AG40" i="2"/>
  <c r="M59" i="2"/>
  <c r="M68" i="2"/>
  <c r="AG46" i="2"/>
  <c r="M50" i="2"/>
  <c r="AG58" i="2"/>
  <c r="M48" i="2"/>
  <c r="AG44" i="2"/>
  <c r="M67" i="2"/>
  <c r="M55" i="2"/>
  <c r="M53" i="2"/>
  <c r="AG42" i="2"/>
  <c r="M52" i="2"/>
  <c r="AG45" i="2"/>
  <c r="M70" i="2"/>
  <c r="M63" i="2"/>
  <c r="AG54" i="2"/>
  <c r="M69" i="2"/>
  <c r="M54" i="2"/>
  <c r="AG53" i="2"/>
  <c r="M57" i="2"/>
  <c r="AG60" i="2"/>
  <c r="AG52" i="2"/>
  <c r="M60" i="2"/>
  <c r="AG50" i="2"/>
  <c r="M66" i="2"/>
  <c r="M51" i="2"/>
  <c r="M58" i="2"/>
  <c r="M49" i="2"/>
  <c r="BA46" i="2"/>
  <c r="BA44" i="2"/>
  <c r="BA51" i="2"/>
  <c r="BA42" i="2"/>
  <c r="M40" i="2"/>
  <c r="BA49" i="2"/>
  <c r="BA41" i="2"/>
  <c r="BA45" i="2"/>
  <c r="BA43" i="2"/>
  <c r="BA38" i="2"/>
  <c r="BC38" i="2" s="1"/>
  <c r="BA48" i="2"/>
  <c r="BA40" i="2"/>
  <c r="BC40" i="2" s="1"/>
  <c r="BA39" i="2"/>
  <c r="BA47" i="2"/>
  <c r="J76" i="11"/>
  <c r="AW3" i="1" l="1"/>
  <c r="BB3" i="1"/>
  <c r="BC48" i="2"/>
  <c r="BC49" i="2"/>
  <c r="BC50" i="2"/>
  <c r="BC51" i="2"/>
  <c r="U35" i="2"/>
  <c r="AC15" i="13" l="1"/>
  <c r="AC16" i="13"/>
  <c r="AC17" i="13"/>
  <c r="AC18" i="13"/>
  <c r="AC14" i="13"/>
  <c r="K14" i="8" l="1"/>
  <c r="BC46" i="2"/>
  <c r="BC47" i="2"/>
  <c r="S18" i="2" l="1"/>
  <c r="AC18" i="2" s="1"/>
  <c r="AG18" i="2"/>
  <c r="S19" i="2"/>
  <c r="AG19" i="2"/>
  <c r="S20" i="2"/>
  <c r="AG20" i="2"/>
  <c r="S21" i="2"/>
  <c r="AG21" i="2"/>
  <c r="S22" i="2"/>
  <c r="AG22" i="2"/>
  <c r="S23" i="2"/>
  <c r="AG23" i="2"/>
  <c r="S24" i="2"/>
  <c r="AG24" i="2"/>
  <c r="S25" i="2"/>
  <c r="AG25" i="2"/>
  <c r="J13" i="11"/>
  <c r="J14" i="11"/>
  <c r="J16" i="11"/>
  <c r="A53" i="8" s="1"/>
  <c r="J17" i="11"/>
  <c r="J19" i="11"/>
  <c r="J20" i="11"/>
  <c r="A55" i="8" s="1"/>
  <c r="J21" i="11"/>
  <c r="J22" i="11"/>
  <c r="J23" i="11"/>
  <c r="J4" i="11"/>
  <c r="A47" i="8" s="1"/>
  <c r="J24" i="11"/>
  <c r="J5" i="11"/>
  <c r="A48" i="8" s="1"/>
  <c r="J25" i="11"/>
  <c r="J26" i="11"/>
  <c r="J27" i="11"/>
  <c r="J28" i="11"/>
  <c r="J29" i="11"/>
  <c r="J30" i="11"/>
  <c r="J6" i="11"/>
  <c r="J7" i="11"/>
  <c r="J31" i="11"/>
  <c r="J32" i="11"/>
  <c r="A64" i="8" s="1"/>
  <c r="J33" i="11"/>
  <c r="J8" i="11"/>
  <c r="J37" i="11"/>
  <c r="J39" i="11"/>
  <c r="J40" i="11"/>
  <c r="J41" i="11"/>
  <c r="J43" i="11"/>
  <c r="J44" i="11"/>
  <c r="J45" i="11"/>
  <c r="J73" i="11"/>
  <c r="J71" i="11"/>
  <c r="J72" i="11"/>
  <c r="J74" i="11"/>
  <c r="J75" i="11"/>
  <c r="J46" i="11"/>
  <c r="A72" i="8" s="1"/>
  <c r="J47" i="11"/>
  <c r="A73" i="8" s="1"/>
  <c r="J49" i="11"/>
  <c r="J50" i="11"/>
  <c r="J51" i="11"/>
  <c r="J48" i="11"/>
  <c r="A74" i="8" s="1"/>
  <c r="J52" i="11"/>
  <c r="A78" i="8" s="1"/>
  <c r="J53" i="11"/>
  <c r="A79" i="8" s="1"/>
  <c r="J54" i="11"/>
  <c r="A80" i="8" s="1"/>
  <c r="J57" i="11"/>
  <c r="A81" i="8" s="1"/>
  <c r="J67" i="11"/>
  <c r="J58" i="11"/>
  <c r="A82" i="8" s="1"/>
  <c r="J59" i="11"/>
  <c r="J60" i="11"/>
  <c r="J61" i="11"/>
  <c r="J62" i="11"/>
  <c r="J63" i="11"/>
  <c r="J64" i="11"/>
  <c r="J65" i="11"/>
  <c r="J68" i="11"/>
  <c r="J69" i="11"/>
  <c r="J66" i="11"/>
  <c r="J12" i="11"/>
  <c r="A92" i="8" l="1"/>
  <c r="A76" i="8"/>
  <c r="A56" i="8"/>
  <c r="A87" i="8"/>
  <c r="A59" i="8"/>
  <c r="A86" i="8"/>
  <c r="A85" i="8"/>
  <c r="A91" i="8"/>
  <c r="A83" i="8"/>
  <c r="A75" i="8"/>
  <c r="A93" i="8"/>
  <c r="A90" i="8"/>
  <c r="A89" i="8"/>
  <c r="A77" i="8"/>
  <c r="A84" i="8"/>
  <c r="A88" i="8"/>
  <c r="A69" i="8"/>
  <c r="A63" i="8"/>
  <c r="A68" i="8"/>
  <c r="A49" i="8"/>
  <c r="A54" i="8"/>
  <c r="A50" i="8"/>
  <c r="A62" i="8"/>
  <c r="A57" i="8"/>
  <c r="A51" i="8"/>
  <c r="A67" i="8"/>
  <c r="A61" i="8"/>
  <c r="A66" i="8"/>
  <c r="A58" i="8"/>
  <c r="A52" i="8"/>
  <c r="A65" i="8"/>
  <c r="A71" i="8"/>
  <c r="A60" i="8"/>
  <c r="A2" i="11"/>
  <c r="Q17" i="2" l="1"/>
  <c r="AG17" i="2"/>
  <c r="U31" i="2"/>
  <c r="U34" i="2"/>
  <c r="U33" i="2"/>
  <c r="U32" i="2"/>
  <c r="J2" i="11"/>
  <c r="A46" i="8" s="1"/>
  <c r="U30" i="2"/>
  <c r="U29" i="2"/>
  <c r="A70" i="8"/>
  <c r="K606" i="10" l="1"/>
  <c r="K605" i="10"/>
  <c r="K601" i="10"/>
  <c r="K599" i="10"/>
  <c r="K598" i="10"/>
  <c r="K596" i="10"/>
  <c r="K594" i="10"/>
  <c r="K593" i="10"/>
  <c r="K591" i="10"/>
  <c r="K589" i="10"/>
  <c r="K587" i="10"/>
  <c r="K586" i="10"/>
  <c r="K584" i="10"/>
  <c r="K581" i="10"/>
  <c r="K580" i="10"/>
  <c r="K579" i="10"/>
  <c r="K576" i="10"/>
  <c r="K574" i="10"/>
  <c r="K573" i="10"/>
  <c r="K571" i="10"/>
  <c r="K570" i="10"/>
  <c r="K568" i="10"/>
  <c r="K567" i="10"/>
  <c r="K553" i="10"/>
  <c r="K549" i="10"/>
  <c r="K547" i="10"/>
  <c r="K545" i="10"/>
  <c r="K543" i="10"/>
  <c r="K541" i="10"/>
  <c r="K539" i="10"/>
  <c r="K537" i="10"/>
  <c r="K536" i="10"/>
  <c r="K534" i="10"/>
  <c r="K533" i="10"/>
  <c r="K532" i="10"/>
  <c r="K530" i="10"/>
  <c r="K527" i="10"/>
  <c r="K526" i="10"/>
  <c r="K525" i="10"/>
  <c r="K524" i="10"/>
  <c r="K523" i="10"/>
  <c r="K521" i="10"/>
  <c r="K520" i="10"/>
  <c r="K519" i="10"/>
  <c r="K518" i="10"/>
  <c r="K516" i="10"/>
  <c r="K515" i="10"/>
  <c r="K512" i="10"/>
  <c r="K511" i="10"/>
  <c r="K509" i="10"/>
  <c r="K508" i="10"/>
  <c r="K506" i="10"/>
  <c r="K502" i="10"/>
  <c r="K501" i="10"/>
  <c r="K500" i="10"/>
  <c r="K497" i="10"/>
  <c r="K496" i="10"/>
  <c r="K492" i="10"/>
  <c r="K490" i="10"/>
  <c r="K486" i="10"/>
  <c r="K479" i="10"/>
  <c r="K476" i="10"/>
  <c r="K474" i="10"/>
  <c r="K472" i="10"/>
  <c r="K469" i="10"/>
  <c r="K465" i="10"/>
  <c r="K464" i="10"/>
  <c r="K463" i="10"/>
  <c r="K462" i="10"/>
  <c r="K461" i="10"/>
  <c r="K459" i="10"/>
  <c r="K457" i="10"/>
  <c r="K456" i="10"/>
  <c r="K454" i="10"/>
  <c r="K451" i="10"/>
  <c r="K449" i="10"/>
  <c r="K448" i="10"/>
  <c r="K447" i="10"/>
  <c r="K443" i="10"/>
  <c r="K440" i="10"/>
  <c r="K438" i="10"/>
  <c r="K437" i="10"/>
  <c r="K435" i="10"/>
  <c r="K431" i="10"/>
  <c r="K429" i="10"/>
  <c r="K428" i="10"/>
  <c r="K426" i="10"/>
  <c r="K424" i="10"/>
  <c r="K422" i="10"/>
  <c r="K420" i="10"/>
  <c r="K418" i="10"/>
  <c r="K416" i="10"/>
  <c r="K414" i="10"/>
  <c r="K413" i="10"/>
  <c r="K412" i="10"/>
  <c r="K410" i="10"/>
  <c r="K409" i="10"/>
  <c r="K408" i="10"/>
  <c r="K405" i="10"/>
  <c r="K403" i="10"/>
  <c r="K401" i="10"/>
  <c r="K400" i="10"/>
  <c r="K397" i="10"/>
  <c r="K395" i="10"/>
  <c r="K394" i="10"/>
  <c r="K392" i="10"/>
  <c r="K390" i="10"/>
  <c r="K387" i="10"/>
  <c r="K386" i="10"/>
  <c r="K385" i="10"/>
  <c r="K383" i="10"/>
  <c r="K381" i="10"/>
  <c r="K380" i="10"/>
  <c r="K379" i="10"/>
  <c r="K374" i="10"/>
  <c r="K372" i="10"/>
  <c r="K366" i="10"/>
  <c r="K363" i="10"/>
  <c r="K356" i="10"/>
  <c r="K354" i="10"/>
  <c r="K352" i="10"/>
  <c r="K350" i="10"/>
  <c r="K349" i="10"/>
  <c r="K348" i="10"/>
  <c r="K347" i="10"/>
  <c r="K346" i="10"/>
  <c r="K343" i="10"/>
  <c r="K341" i="10"/>
  <c r="K340" i="10"/>
  <c r="K339" i="10"/>
  <c r="K338" i="10"/>
  <c r="K337" i="10"/>
  <c r="K336" i="10"/>
  <c r="K334" i="10"/>
  <c r="K333" i="10"/>
  <c r="K332" i="10"/>
  <c r="K330" i="10"/>
  <c r="K328" i="10"/>
  <c r="K326" i="10"/>
  <c r="K325" i="10"/>
  <c r="K323" i="10"/>
  <c r="K320" i="10"/>
  <c r="K319" i="10"/>
  <c r="K318" i="10"/>
  <c r="K317" i="10"/>
  <c r="K316" i="10"/>
  <c r="K315" i="10"/>
  <c r="K313" i="10"/>
  <c r="K312" i="10"/>
  <c r="K308" i="10"/>
  <c r="K307" i="10"/>
  <c r="K306" i="10"/>
  <c r="K305" i="10"/>
  <c r="K303" i="10"/>
  <c r="K302" i="10"/>
  <c r="K301" i="10"/>
  <c r="K294" i="10"/>
  <c r="K293" i="10"/>
  <c r="K290" i="10"/>
  <c r="K283" i="10"/>
  <c r="K281" i="10"/>
  <c r="K275" i="10"/>
  <c r="K274" i="10"/>
  <c r="K273" i="10"/>
  <c r="K272" i="10"/>
  <c r="K269" i="10"/>
  <c r="K268" i="10"/>
  <c r="K267" i="10"/>
  <c r="K266" i="10"/>
  <c r="K265" i="10"/>
  <c r="K262" i="10"/>
  <c r="K259" i="10"/>
  <c r="K257" i="10"/>
  <c r="K256" i="10"/>
  <c r="K255" i="10"/>
  <c r="K253" i="10"/>
  <c r="K252" i="10"/>
  <c r="K250" i="10"/>
  <c r="K248" i="10"/>
  <c r="K246" i="10"/>
  <c r="K245" i="10"/>
  <c r="K243" i="10"/>
  <c r="K241" i="10"/>
  <c r="K240" i="10"/>
  <c r="K239" i="10"/>
  <c r="K238" i="10"/>
  <c r="K237" i="10"/>
  <c r="K236" i="10"/>
  <c r="K234" i="10"/>
  <c r="K233" i="10"/>
  <c r="K230" i="10"/>
  <c r="K229" i="10"/>
  <c r="K228" i="10"/>
  <c r="K223" i="10"/>
  <c r="K220" i="10"/>
  <c r="K218" i="10"/>
  <c r="K215" i="10"/>
  <c r="K207" i="10"/>
  <c r="K205" i="10"/>
  <c r="K202" i="10"/>
  <c r="K199" i="10"/>
  <c r="K198" i="10"/>
  <c r="K197" i="10"/>
  <c r="K194" i="10"/>
  <c r="K192" i="10"/>
  <c r="K190" i="10"/>
  <c r="K187" i="10"/>
  <c r="K185" i="10"/>
  <c r="K183" i="10"/>
  <c r="K182" i="10"/>
  <c r="K181" i="10"/>
  <c r="K179" i="10"/>
  <c r="K177" i="10"/>
  <c r="K175" i="10"/>
  <c r="K173" i="10"/>
  <c r="K172" i="10"/>
  <c r="K168" i="10"/>
  <c r="K167" i="10"/>
  <c r="K165" i="10"/>
  <c r="K164" i="10"/>
  <c r="K163" i="10"/>
  <c r="K161" i="10"/>
  <c r="K160" i="10"/>
  <c r="K159" i="10"/>
  <c r="K156" i="10"/>
  <c r="K154" i="10"/>
  <c r="K153" i="10"/>
  <c r="K152" i="10"/>
  <c r="K151" i="10"/>
  <c r="K150" i="10"/>
  <c r="K149" i="10"/>
  <c r="K147" i="10"/>
  <c r="K146" i="10"/>
  <c r="K144" i="10"/>
  <c r="K142" i="10"/>
  <c r="K141" i="10"/>
  <c r="K140" i="10"/>
  <c r="K139" i="10"/>
  <c r="K130" i="10"/>
  <c r="K129" i="10"/>
  <c r="K128" i="10"/>
  <c r="K127" i="10"/>
  <c r="K126" i="10"/>
  <c r="K124" i="10"/>
  <c r="K122" i="10"/>
  <c r="K119" i="10"/>
  <c r="K116" i="10"/>
  <c r="K113" i="10"/>
  <c r="K111" i="10"/>
  <c r="K109" i="10"/>
  <c r="K89" i="10"/>
  <c r="K68" i="10"/>
  <c r="K64" i="10"/>
  <c r="K63" i="10"/>
  <c r="K62" i="10"/>
  <c r="K59" i="10"/>
  <c r="K58" i="10"/>
  <c r="K56" i="10"/>
  <c r="K54" i="10"/>
  <c r="K52" i="10"/>
  <c r="K49" i="10"/>
  <c r="K48" i="10"/>
  <c r="K46" i="10"/>
  <c r="K44" i="10"/>
  <c r="K41" i="10"/>
  <c r="K40" i="10"/>
  <c r="K39" i="10"/>
  <c r="K36" i="10"/>
  <c r="K35" i="10"/>
  <c r="K30" i="10"/>
  <c r="K28" i="10"/>
  <c r="K25" i="10"/>
  <c r="K24" i="10"/>
  <c r="K23" i="10"/>
  <c r="K21" i="10"/>
  <c r="K20" i="10"/>
  <c r="K19" i="10"/>
  <c r="K18" i="10"/>
  <c r="K13" i="10"/>
  <c r="K11" i="10"/>
  <c r="K9" i="10"/>
  <c r="K8" i="10"/>
  <c r="K7" i="10"/>
  <c r="K5" i="10"/>
  <c r="K4" i="10"/>
  <c r="K3" i="10"/>
  <c r="K2" i="10"/>
  <c r="S7" i="4" l="1"/>
  <c r="Y7" i="4" s="1"/>
  <c r="AT9" i="2"/>
  <c r="A5" i="4" l="1"/>
  <c r="K10" i="8"/>
  <c r="AA13" i="2"/>
  <c r="A13" i="2" l="1"/>
  <c r="O14" i="6" l="1"/>
  <c r="BB21" i="3" l="1"/>
  <c r="A8" i="2"/>
  <c r="F8" i="2"/>
  <c r="P8" i="2"/>
  <c r="U8" i="2"/>
  <c r="Z8" i="2"/>
  <c r="AE8" i="2"/>
  <c r="AJ8" i="2"/>
  <c r="AO8" i="2"/>
  <c r="K12" i="2"/>
  <c r="G12" i="2"/>
  <c r="O12" i="2"/>
  <c r="S12" i="2"/>
  <c r="W12" i="2"/>
  <c r="AS12" i="2"/>
  <c r="AI56" i="2"/>
  <c r="O40" i="2"/>
  <c r="BC42" i="2"/>
  <c r="AI57" i="2"/>
  <c r="O41" i="2"/>
  <c r="O65" i="2"/>
  <c r="O42" i="2"/>
  <c r="O66" i="2"/>
  <c r="AI60" i="2"/>
  <c r="O68" i="2"/>
  <c r="O45" i="2"/>
  <c r="O69" i="2"/>
  <c r="O70" i="2"/>
  <c r="O48" i="2"/>
  <c r="O49" i="2"/>
  <c r="O51" i="2"/>
  <c r="O52" i="2"/>
  <c r="BC41" i="2"/>
  <c r="AI44" i="2"/>
  <c r="AI45" i="2"/>
  <c r="BC43" i="2"/>
  <c r="O55" i="2"/>
  <c r="BC44" i="2"/>
  <c r="AI47" i="2"/>
  <c r="BC45" i="2"/>
  <c r="O57" i="2"/>
  <c r="O58" i="2"/>
  <c r="AI50" i="2"/>
  <c r="O60" i="2"/>
  <c r="AI53" i="2"/>
  <c r="AI54" i="2"/>
  <c r="O63" i="2"/>
  <c r="AI55" i="2"/>
  <c r="K6" i="8"/>
  <c r="BB72" i="3" l="1"/>
  <c r="AF72" i="3"/>
  <c r="K15" i="1"/>
  <c r="K16" i="8" s="1"/>
  <c r="AE9" i="2"/>
  <c r="K8" i="8"/>
  <c r="W13" i="2"/>
  <c r="K12" i="8"/>
  <c r="M65" i="2"/>
  <c r="S13" i="2"/>
  <c r="AG32" i="2" l="1"/>
  <c r="X33" i="2"/>
  <c r="G21" i="1"/>
  <c r="AA1" i="4" s="1"/>
  <c r="Y51" i="2"/>
  <c r="BD15" i="1"/>
  <c r="K13" i="2" s="1"/>
  <c r="BD13" i="1"/>
  <c r="G13" i="2" s="1"/>
  <c r="AI21" i="1"/>
  <c r="Z21" i="1"/>
  <c r="H33" i="12"/>
  <c r="U67" i="2"/>
  <c r="U68" i="2"/>
  <c r="AB59" i="2"/>
  <c r="O13" i="2"/>
  <c r="M45" i="2"/>
  <c r="M41" i="2"/>
  <c r="AI52" i="2"/>
  <c r="AI49" i="2" l="1"/>
  <c r="AA16" i="2"/>
  <c r="AA17" i="2"/>
  <c r="X34" i="2"/>
  <c r="O39" i="2"/>
  <c r="O64" i="2"/>
  <c r="AS13" i="2" s="1"/>
  <c r="BA30" i="2" s="1"/>
  <c r="L28" i="2"/>
  <c r="S28" i="2"/>
  <c r="U66" i="2"/>
  <c r="AW15" i="1"/>
  <c r="A11" i="13"/>
  <c r="D13" i="2"/>
  <c r="AE13" i="2"/>
  <c r="AL13" i="2"/>
  <c r="O53" i="2"/>
  <c r="AI40" i="2"/>
  <c r="O62" i="2"/>
  <c r="O44" i="2"/>
  <c r="AI38" i="2"/>
  <c r="AI48" i="2"/>
  <c r="AI39" i="2"/>
  <c r="O46" i="2"/>
  <c r="O67" i="2"/>
  <c r="O47" i="2"/>
  <c r="O61" i="2"/>
  <c r="AI43" i="2"/>
  <c r="AI58" i="2"/>
  <c r="O43" i="2"/>
  <c r="O56" i="2"/>
  <c r="AI41" i="2"/>
  <c r="BA31" i="2" l="1"/>
  <c r="BA34" i="2" s="1"/>
  <c r="BA32" i="2"/>
  <c r="BA35" i="2" s="1"/>
  <c r="BA33" i="2"/>
  <c r="AW13" i="2"/>
  <c r="BB13" i="2" s="1"/>
  <c r="BA28" i="2"/>
  <c r="BA29" i="2"/>
  <c r="S29" i="2"/>
  <c r="S30" i="2"/>
</calcChain>
</file>

<file path=xl/comments1.xml><?xml version="1.0" encoding="utf-8"?>
<comments xmlns="http://schemas.openxmlformats.org/spreadsheetml/2006/main">
  <authors>
    <author/>
    <author>j.burkhard</author>
  </authors>
  <commentList>
    <comment ref="AM15" authorId="0">
      <text>
        <r>
          <rPr>
            <sz val="10"/>
            <color indexed="8"/>
            <rFont val="Tahoma"/>
            <family val="2"/>
          </rPr>
          <t>GB = Geistesblitz</t>
        </r>
      </text>
    </comment>
    <comment ref="AJ25" authorId="1">
      <text>
        <r>
          <rPr>
            <b/>
            <sz val="8"/>
            <color indexed="81"/>
            <rFont val="Tahoma"/>
            <family val="2"/>
          </rPr>
          <t>Offizielle Regelauslegung von Midgard-Online</t>
        </r>
        <r>
          <rPr>
            <sz val="8"/>
            <color indexed="81"/>
            <rFont val="Tahoma"/>
            <family val="2"/>
          </rPr>
          <t xml:space="preserve">
Grundsätzlich können Zaubersprüche die Eigenschaftswerte von Spielerfiguren bis auf einen maximalen Wert von 100 erhöhen, unabhängig von der Rasse der Spielerfigur. 100 gilt als maximale Obergrenze und kann normalerweise nicht überschritten werden. Lediglich bei der Eigenschaft Stärke sind noch höhere - übermenschliche - Werte möglich, da sich die Auswirkungen dieser Eigenschaft sehr einfach darstellen lassen. Diese Sonderfälle und ihre Auswirkungen sind im Regelwerk beschrieben.
</t>
        </r>
      </text>
    </comment>
  </commentList>
</comments>
</file>

<file path=xl/comments2.xml><?xml version="1.0" encoding="utf-8"?>
<comments xmlns="http://schemas.openxmlformats.org/spreadsheetml/2006/main">
  <authors>
    <author>j.burkhard</author>
  </authors>
  <commentList>
    <comment ref="A68" authorId="0">
      <text>
        <r>
          <rPr>
            <sz val="9"/>
            <color indexed="81"/>
            <rFont val="Times New Roman"/>
            <family val="1"/>
          </rPr>
          <t xml:space="preserve">Damit man nicht versehentlich alle drei Seiten ausdruckt, obwohl die 2. und 3.Seite noch leer sind, wurde der Druckbereich auf die 1.Seite (bis Zeile 67) begrenzt. Damit auch die 2. bzw. 3.Seite ausgedruckt wird, muss der Druckbereich geändert werden.
</t>
        </r>
        <r>
          <rPr>
            <b/>
            <sz val="9"/>
            <color indexed="81"/>
            <rFont val="Times New Roman"/>
            <family val="1"/>
          </rPr>
          <t>Excel2010:</t>
        </r>
        <r>
          <rPr>
            <sz val="9"/>
            <color indexed="81"/>
            <rFont val="Times New Roman"/>
            <family val="1"/>
          </rPr>
          <t xml:space="preserve">
Seitenlayout -&gt; Drucktitel -&gt; Druckbereich ändern in </t>
        </r>
        <r>
          <rPr>
            <b/>
            <sz val="9"/>
            <color indexed="81"/>
            <rFont val="Times New Roman"/>
            <family val="1"/>
          </rPr>
          <t>A1:BF131</t>
        </r>
        <r>
          <rPr>
            <sz val="9"/>
            <color indexed="81"/>
            <rFont val="Times New Roman"/>
            <family val="1"/>
          </rPr>
          <t xml:space="preserve"> (1. und 2.Seite)
bzw. </t>
        </r>
        <r>
          <rPr>
            <b/>
            <sz val="9"/>
            <color indexed="81"/>
            <rFont val="Times New Roman"/>
            <family val="1"/>
          </rPr>
          <t>A1:BF195</t>
        </r>
        <r>
          <rPr>
            <sz val="9"/>
            <color indexed="81"/>
            <rFont val="Times New Roman"/>
            <family val="1"/>
          </rPr>
          <t xml:space="preserve"> (1. bis 3.Seite).</t>
        </r>
      </text>
    </comment>
    <comment ref="A132" authorId="0">
      <text>
        <r>
          <rPr>
            <sz val="9"/>
            <color indexed="81"/>
            <rFont val="Times New Roman"/>
            <family val="1"/>
          </rPr>
          <t xml:space="preserve">Damit man nicht versehentlich alle drei Seiten ausdruckt, obwohl die 2. und 3.Seite noch leer sind, wurde der Druckbereich auf die 1.Seite (bis Zeile 67) begrenzt. Damit auch die 2. bzw. 3.Seite ausgedruckt wird, muss der Druckbereich geändert werden.
</t>
        </r>
        <r>
          <rPr>
            <b/>
            <sz val="9"/>
            <color indexed="81"/>
            <rFont val="Times New Roman"/>
            <family val="1"/>
          </rPr>
          <t>Excel2010:</t>
        </r>
        <r>
          <rPr>
            <sz val="9"/>
            <color indexed="81"/>
            <rFont val="Times New Roman"/>
            <family val="1"/>
          </rPr>
          <t xml:space="preserve">
Seitenlayout -&gt; Drucktitel -&gt; Druckbereich ändern in </t>
        </r>
        <r>
          <rPr>
            <b/>
            <sz val="9"/>
            <color indexed="81"/>
            <rFont val="Times New Roman"/>
            <family val="1"/>
          </rPr>
          <t>A1:BF131</t>
        </r>
        <r>
          <rPr>
            <sz val="9"/>
            <color indexed="81"/>
            <rFont val="Times New Roman"/>
            <family val="1"/>
          </rPr>
          <t xml:space="preserve"> (1. und 2.Seite)
bzw. </t>
        </r>
        <r>
          <rPr>
            <b/>
            <sz val="9"/>
            <color indexed="81"/>
            <rFont val="Times New Roman"/>
            <family val="1"/>
          </rPr>
          <t>A1:BF195</t>
        </r>
        <r>
          <rPr>
            <sz val="9"/>
            <color indexed="81"/>
            <rFont val="Times New Roman"/>
            <family val="1"/>
          </rPr>
          <t xml:space="preserve"> (1. bis 3.Seite).</t>
        </r>
      </text>
    </comment>
  </commentList>
</comments>
</file>

<file path=xl/sharedStrings.xml><?xml version="1.0" encoding="utf-8"?>
<sst xmlns="http://schemas.openxmlformats.org/spreadsheetml/2006/main" count="10317" uniqueCount="1886">
  <si>
    <t>Typ</t>
  </si>
  <si>
    <t>Grad</t>
  </si>
  <si>
    <t>Spieler</t>
  </si>
  <si>
    <t>Rasse</t>
  </si>
  <si>
    <t>Mensch</t>
  </si>
  <si>
    <t>Größe</t>
  </si>
  <si>
    <t>Gewicht</t>
  </si>
  <si>
    <t>Alter</t>
  </si>
  <si>
    <t>Heimat</t>
  </si>
  <si>
    <t>Glaube</t>
  </si>
  <si>
    <t>Stand</t>
  </si>
  <si>
    <t>Merkmale</t>
  </si>
  <si>
    <t>sonstiges</t>
  </si>
  <si>
    <t>St</t>
  </si>
  <si>
    <t>Gs</t>
  </si>
  <si>
    <t>Gw</t>
  </si>
  <si>
    <t>Ko</t>
  </si>
  <si>
    <t>In</t>
  </si>
  <si>
    <t>KAW</t>
  </si>
  <si>
    <t>LP</t>
  </si>
  <si>
    <t>GG</t>
  </si>
  <si>
    <t>Zt</t>
  </si>
  <si>
    <t>Au</t>
  </si>
  <si>
    <t>pA</t>
  </si>
  <si>
    <t>Wk</t>
  </si>
  <si>
    <t>B</t>
  </si>
  <si>
    <t>GB</t>
  </si>
  <si>
    <t>AP</t>
  </si>
  <si>
    <t>SG</t>
  </si>
  <si>
    <t>Persönlicher Bonus für:</t>
  </si>
  <si>
    <t>Ausdauer</t>
  </si>
  <si>
    <t>Schaden</t>
  </si>
  <si>
    <t>Angriff</t>
  </si>
  <si>
    <t>Abwehr</t>
  </si>
  <si>
    <t>Zaubern</t>
  </si>
  <si>
    <t>Geistesmagie</t>
  </si>
  <si>
    <t>Körpermagie</t>
  </si>
  <si>
    <t>ESchwerter</t>
  </si>
  <si>
    <t>ESchlagwaffen</t>
  </si>
  <si>
    <t>Stichwaffen</t>
  </si>
  <si>
    <t>Stockwaffen</t>
  </si>
  <si>
    <t>Bögen</t>
  </si>
  <si>
    <t>Wurfklingen</t>
  </si>
  <si>
    <t>Stielwurfwaffen</t>
  </si>
  <si>
    <t>Parierwaffen</t>
  </si>
  <si>
    <t>ZSchwerter</t>
  </si>
  <si>
    <t>ZSchlagwaffen</t>
  </si>
  <si>
    <t>Spießwaffen</t>
  </si>
  <si>
    <t>Kettenwaffen</t>
  </si>
  <si>
    <t>Armbrüste</t>
  </si>
  <si>
    <t>Wurfscheiben</t>
  </si>
  <si>
    <t>Blasrohre</t>
  </si>
  <si>
    <t>Schilde</t>
  </si>
  <si>
    <t>Fechtwaffen</t>
  </si>
  <si>
    <t>Zauberstäbe</t>
  </si>
  <si>
    <t>waffenloser Kampf</t>
  </si>
  <si>
    <t>Schleudern</t>
  </si>
  <si>
    <t>Wurfspieße</t>
  </si>
  <si>
    <t>Datum</t>
  </si>
  <si>
    <t>ES</t>
  </si>
  <si>
    <t>EP</t>
  </si>
  <si>
    <t>Vermögen</t>
  </si>
  <si>
    <t>GS</t>
  </si>
  <si>
    <t>SS</t>
  </si>
  <si>
    <t>KS</t>
  </si>
  <si>
    <t>RK</t>
  </si>
  <si>
    <t>VR</t>
  </si>
  <si>
    <t>Bonus für:</t>
  </si>
  <si>
    <t>Gift</t>
  </si>
  <si>
    <t>EW</t>
  </si>
  <si>
    <t>PP</t>
  </si>
  <si>
    <t>Waffengruppe</t>
  </si>
  <si>
    <t>Notizen</t>
  </si>
  <si>
    <t>Raufen</t>
  </si>
  <si>
    <t>1W6-4</t>
  </si>
  <si>
    <t>-</t>
  </si>
  <si>
    <t>Keine</t>
  </si>
  <si>
    <t>Spezialwaffe</t>
  </si>
  <si>
    <t>Verteidigungswaffen</t>
  </si>
  <si>
    <t>-AP</t>
  </si>
  <si>
    <t>Lasten &amp; Gewichte</t>
  </si>
  <si>
    <t>Rüstung</t>
  </si>
  <si>
    <t>AnB</t>
  </si>
  <si>
    <t>AbB</t>
  </si>
  <si>
    <t>Ohne Abwehrwaffe</t>
  </si>
  <si>
    <t>Normallast</t>
  </si>
  <si>
    <t>Textilrüstung (TR)</t>
  </si>
  <si>
    <t>schwere Last</t>
  </si>
  <si>
    <t>Lederrüstung (LR)</t>
  </si>
  <si>
    <t>Parierdolch</t>
  </si>
  <si>
    <t>Höchstlast</t>
  </si>
  <si>
    <t>Kettenrüstung (KR)</t>
  </si>
  <si>
    <t>Schublast</t>
  </si>
  <si>
    <t>Plattenrüstung (PR)</t>
  </si>
  <si>
    <t>Gewichtsbelastung</t>
  </si>
  <si>
    <t>Vollrüstung (VR)</t>
  </si>
  <si>
    <t>Rindenhaut</t>
  </si>
  <si>
    <t>Marmorhaut</t>
  </si>
  <si>
    <t>Eisenhaut</t>
  </si>
  <si>
    <t>B/M</t>
  </si>
  <si>
    <t>Laufen + 0</t>
  </si>
  <si>
    <t>Verhören + 3</t>
  </si>
  <si>
    <t>Alchimie + 0</t>
  </si>
  <si>
    <t>Verstellen + 3</t>
  </si>
  <si>
    <t>Anführen + 6</t>
  </si>
  <si>
    <t>Meditieren + 0</t>
  </si>
  <si>
    <t>Wagenlenken + 3</t>
  </si>
  <si>
    <t>Athletik + 0</t>
  </si>
  <si>
    <t>Menschenkenntnis + 3</t>
  </si>
  <si>
    <t>Meucheln + 0</t>
  </si>
  <si>
    <t>Zauberkunde + 0</t>
  </si>
  <si>
    <t>Beidhändiger Kampf + 0</t>
  </si>
  <si>
    <t>Musizieren</t>
  </si>
  <si>
    <t>Beredsamkeit + 3</t>
  </si>
  <si>
    <t>Naturkunde + 0</t>
  </si>
  <si>
    <t>Betäuben + 6</t>
  </si>
  <si>
    <t>Pflanzenkunde + 0</t>
  </si>
  <si>
    <t>Sprachen / Schriften</t>
  </si>
  <si>
    <t>Bootfahren + 3</t>
  </si>
  <si>
    <t>Reiten + 6</t>
  </si>
  <si>
    <t>Erste Hilfe + 0</t>
  </si>
  <si>
    <t>Etikette + 0</t>
  </si>
  <si>
    <t>Scharfschießen + 0</t>
  </si>
  <si>
    <t>Schlösser öffnen + 0</t>
  </si>
  <si>
    <t>Fälschen + 0</t>
  </si>
  <si>
    <t>Fechten + 0</t>
  </si>
  <si>
    <t>Seilkunst + 3</t>
  </si>
  <si>
    <t>Gassenwissen + 0</t>
  </si>
  <si>
    <t>Gaukeln + 0</t>
  </si>
  <si>
    <t>Stehlen + 3</t>
  </si>
  <si>
    <t>Gerätekunde + 0</t>
  </si>
  <si>
    <t>Tauchen + 6</t>
  </si>
  <si>
    <t>Geschäftssinn + 0</t>
  </si>
  <si>
    <t>Tierkunde + 0</t>
  </si>
  <si>
    <t>Zauberprozess</t>
  </si>
  <si>
    <t>Glücksspiel + 0</t>
  </si>
  <si>
    <t>Trinken</t>
  </si>
  <si>
    <t>Beherrschen</t>
  </si>
  <si>
    <t>Verändern</t>
  </si>
  <si>
    <t>Heilkunde + 0</t>
  </si>
  <si>
    <t>Bewegen</t>
  </si>
  <si>
    <t>Zerstören</t>
  </si>
  <si>
    <t>Kampf in VR + 0</t>
  </si>
  <si>
    <t>Erkennen</t>
  </si>
  <si>
    <t>Wundertaten</t>
  </si>
  <si>
    <t>Erschaffen</t>
  </si>
  <si>
    <t>Dweomer</t>
  </si>
  <si>
    <t>Verführen + 3</t>
  </si>
  <si>
    <t>Formen</t>
  </si>
  <si>
    <t>Zauberlieder</t>
  </si>
  <si>
    <t>Anz.</t>
  </si>
  <si>
    <t>Kleidung &amp; Rüstung</t>
  </si>
  <si>
    <t>Wo getragen?</t>
  </si>
  <si>
    <t>Waffen</t>
  </si>
  <si>
    <t>Nahrung &amp; Getränke</t>
  </si>
  <si>
    <t>Tagesrationen (je 0,5kg)</t>
  </si>
  <si>
    <t>Rucksack</t>
  </si>
  <si>
    <t>Wasserschlauch für 5 Liter (0,1kg)</t>
  </si>
  <si>
    <t>Sonstige Gegenstände</t>
  </si>
  <si>
    <t>Lederrucksack für 25kg</t>
  </si>
  <si>
    <t>Rücken</t>
  </si>
  <si>
    <t>warme Decke</t>
  </si>
  <si>
    <t>Lederbeutel für 20 Münzen</t>
  </si>
  <si>
    <t>Gürtel</t>
  </si>
  <si>
    <t>Tränke, Kräuter &amp; magische Gegenstände</t>
  </si>
  <si>
    <t>Spezialgebiet</t>
  </si>
  <si>
    <t>Zauberspruch</t>
  </si>
  <si>
    <t>ZD</t>
  </si>
  <si>
    <t>WB</t>
  </si>
  <si>
    <t>W.Ziel</t>
  </si>
  <si>
    <t>Beschreibung</t>
  </si>
  <si>
    <t>Prozess</t>
  </si>
  <si>
    <t>RW</t>
  </si>
  <si>
    <t>WD</t>
  </si>
  <si>
    <t>Art</t>
  </si>
  <si>
    <t>Aussehen, Charakterbeschreibung &amp; Hintergrundgeschichte</t>
  </si>
  <si>
    <t>Aussehen</t>
  </si>
  <si>
    <t>Charakter</t>
  </si>
  <si>
    <t>Hintergrundgeschichte</t>
  </si>
  <si>
    <t>Bild des Charakters</t>
  </si>
  <si>
    <t>Reitpferd</t>
  </si>
  <si>
    <t>Name</t>
  </si>
  <si>
    <t>W%</t>
  </si>
  <si>
    <t>W3</t>
  </si>
  <si>
    <t>Stärke</t>
  </si>
  <si>
    <t>Geschicklichkeit</t>
  </si>
  <si>
    <t>Gewandtheit</t>
  </si>
  <si>
    <t>Konstitution</t>
  </si>
  <si>
    <t>Intelligenz</t>
  </si>
  <si>
    <t>Barbar</t>
  </si>
  <si>
    <t>Zaubertalent</t>
  </si>
  <si>
    <t>Barde</t>
  </si>
  <si>
    <t>Glücksritter</t>
  </si>
  <si>
    <t>Händler</t>
  </si>
  <si>
    <t>Krieger</t>
  </si>
  <si>
    <t>Ordenskrieger</t>
  </si>
  <si>
    <t>Spitzbube</t>
  </si>
  <si>
    <t>Waldläufer</t>
  </si>
  <si>
    <t>Druide</t>
  </si>
  <si>
    <t>Hexer</t>
  </si>
  <si>
    <t>Magier</t>
  </si>
  <si>
    <t>Bewegungsweite</t>
  </si>
  <si>
    <t>Priester, Beschützer</t>
  </si>
  <si>
    <t>Priester, Streiter</t>
  </si>
  <si>
    <t>Schamane</t>
  </si>
  <si>
    <t>Gesamt</t>
  </si>
  <si>
    <t>OR</t>
  </si>
  <si>
    <t>TR</t>
  </si>
  <si>
    <t>LR</t>
  </si>
  <si>
    <t>KR</t>
  </si>
  <si>
    <t>PR</t>
  </si>
  <si>
    <t>Elf</t>
  </si>
  <si>
    <t>Zwerg</t>
  </si>
  <si>
    <t>Halbling</t>
  </si>
  <si>
    <t>Wirkungsziel</t>
  </si>
  <si>
    <t>Geist</t>
  </si>
  <si>
    <t>Körper</t>
  </si>
  <si>
    <t>Umgebung</t>
  </si>
  <si>
    <t>Gedanke</t>
  </si>
  <si>
    <t>Wort</t>
  </si>
  <si>
    <t>Geste</t>
  </si>
  <si>
    <t>2</t>
  </si>
  <si>
    <t>15</t>
  </si>
  <si>
    <t>48</t>
  </si>
  <si>
    <t>60</t>
  </si>
  <si>
    <t>t50</t>
  </si>
  <si>
    <t>80</t>
  </si>
  <si>
    <t>Hufschlag+7 (1W6)</t>
  </si>
  <si>
    <t>Raufen+7 (1W6-2)</t>
  </si>
  <si>
    <t>Angriffe &amp; Schaden</t>
  </si>
  <si>
    <t>Aussehen &amp; Besonderheiten</t>
  </si>
  <si>
    <t>Sattel, Zaumzeug, Satteltasche, Pferdepflegeset</t>
  </si>
  <si>
    <t>Ausrüstung bei Pferd</t>
  </si>
  <si>
    <t>+Ausrüstung</t>
  </si>
  <si>
    <t>Raufen (alle Rassen)</t>
  </si>
  <si>
    <t>Geburtsdatum</t>
  </si>
  <si>
    <t>Gestalt</t>
  </si>
  <si>
    <t>Gestalt (alle Rassen)</t>
  </si>
  <si>
    <t>Zaubern (alle Klassen)</t>
  </si>
  <si>
    <t>Grad 1</t>
  </si>
  <si>
    <t>Grad 2</t>
  </si>
  <si>
    <t>Grad 3</t>
  </si>
  <si>
    <t>Grad 4</t>
  </si>
  <si>
    <t>Grad 5</t>
  </si>
  <si>
    <t>Grad 6</t>
  </si>
  <si>
    <t>Grad 7</t>
  </si>
  <si>
    <t>Grad 8</t>
  </si>
  <si>
    <t>Grad 9</t>
  </si>
  <si>
    <t>Grad 10</t>
  </si>
  <si>
    <t>Grad 11</t>
  </si>
  <si>
    <t>Grad 12</t>
  </si>
  <si>
    <t>Grad 13</t>
  </si>
  <si>
    <t>Grad 14</t>
  </si>
  <si>
    <t>Grad 15</t>
  </si>
  <si>
    <t>Grad 16</t>
  </si>
  <si>
    <t>Grad 17</t>
  </si>
  <si>
    <t>Grad 18</t>
  </si>
  <si>
    <t>Grad 19</t>
  </si>
  <si>
    <t>Grad 20</t>
  </si>
  <si>
    <t>Grad 21</t>
  </si>
  <si>
    <t>Grad 22</t>
  </si>
  <si>
    <t>Grad 23</t>
  </si>
  <si>
    <t>Grad 24</t>
  </si>
  <si>
    <t>Grad 25</t>
  </si>
  <si>
    <t>Grad 26</t>
  </si>
  <si>
    <t>Grad 27</t>
  </si>
  <si>
    <t>Grad 28</t>
  </si>
  <si>
    <t>Grad 29</t>
  </si>
  <si>
    <t>Grad 30</t>
  </si>
  <si>
    <t>Bonus</t>
  </si>
  <si>
    <t>Geschlecht</t>
  </si>
  <si>
    <t>männlich</t>
  </si>
  <si>
    <t>Assassine</t>
  </si>
  <si>
    <t>weiblich</t>
  </si>
  <si>
    <t>Halbling (1,02m bis 1,20m)</t>
  </si>
  <si>
    <t>Zwerg (1,37m bis 1,46m)</t>
  </si>
  <si>
    <t>Elf (38kg bis 86kg)</t>
  </si>
  <si>
    <t>Halbling (18kg bis 59kg)</t>
  </si>
  <si>
    <t>Zwerg (57kg bis 90kg)</t>
  </si>
  <si>
    <t>Abwehr &amp; Resistenz (alle Rassen, alle Klassen)</t>
  </si>
  <si>
    <t>Fertigkeiten</t>
  </si>
  <si>
    <t>Akrobatik* + 6</t>
  </si>
  <si>
    <t>* WM-4 beim Tragen von PR oder VR; Beachte Kampf in VR!</t>
  </si>
  <si>
    <t>Balancieren* + 6</t>
  </si>
  <si>
    <t>Geländelauf* + 6</t>
  </si>
  <si>
    <t>Klettern* + 6</t>
  </si>
  <si>
    <t>Schwimmen* + 3</t>
  </si>
  <si>
    <t>Zauber</t>
  </si>
  <si>
    <t>Stufe</t>
  </si>
  <si>
    <t>Zauberdauer</t>
  </si>
  <si>
    <t>Reichweite</t>
  </si>
  <si>
    <t>Wirkungsbereich</t>
  </si>
  <si>
    <t>Wirkungsdauer</t>
  </si>
  <si>
    <t>Ursprung</t>
  </si>
  <si>
    <t>Lernen</t>
  </si>
  <si>
    <t>Agens</t>
  </si>
  <si>
    <t>Reagens</t>
  </si>
  <si>
    <t>Kategorie</t>
  </si>
  <si>
    <t>Allheilung</t>
  </si>
  <si>
    <t>30 min</t>
  </si>
  <si>
    <t>gö</t>
  </si>
  <si>
    <t>Holz</t>
  </si>
  <si>
    <t>Erde</t>
  </si>
  <si>
    <t>Angst</t>
  </si>
  <si>
    <t>Augenblick</t>
  </si>
  <si>
    <t>30 m</t>
  </si>
  <si>
    <t>10 min</t>
  </si>
  <si>
    <t>dr</t>
  </si>
  <si>
    <t>Feuer</t>
  </si>
  <si>
    <t>Wasser</t>
  </si>
  <si>
    <t>Anstacheln</t>
  </si>
  <si>
    <t>10 sec</t>
  </si>
  <si>
    <t>2 h</t>
  </si>
  <si>
    <t>dä</t>
  </si>
  <si>
    <t>Luft</t>
  </si>
  <si>
    <t>Anziehen</t>
  </si>
  <si>
    <t>6 h</t>
  </si>
  <si>
    <t>Arm der Götter</t>
  </si>
  <si>
    <t>2 min</t>
  </si>
  <si>
    <t>Metall</t>
  </si>
  <si>
    <t>Auffrischen</t>
  </si>
  <si>
    <t>15 m</t>
  </si>
  <si>
    <t>Magan</t>
  </si>
  <si>
    <t>Auflösung</t>
  </si>
  <si>
    <t>30 sec</t>
  </si>
  <si>
    <t>2 min, k</t>
  </si>
  <si>
    <t>Moder, Staub, Knochenmehl, Rostflocken (20 GS)</t>
  </si>
  <si>
    <t>Auskühlen</t>
  </si>
  <si>
    <t>el</t>
  </si>
  <si>
    <t>Eis</t>
  </si>
  <si>
    <t>Austreibung des Bösen</t>
  </si>
  <si>
    <t>Bannen von Dunkelheit</t>
  </si>
  <si>
    <t>0 m</t>
  </si>
  <si>
    <t>Bannen von Finsterwerk</t>
  </si>
  <si>
    <t>Bannen von Gift (Dweomer)</t>
  </si>
  <si>
    <t>3 m</t>
  </si>
  <si>
    <t>Bannen von Gift (Wundertat)</t>
  </si>
  <si>
    <t>Bannen von Kälte</t>
  </si>
  <si>
    <t>8 h</t>
  </si>
  <si>
    <t>Holzkohlestück (1 SS)</t>
  </si>
  <si>
    <t>Bannen von Licht</t>
  </si>
  <si>
    <t>Bannen von Zauberwerk</t>
  </si>
  <si>
    <t>Bärenwut</t>
  </si>
  <si>
    <t>Baum</t>
  </si>
  <si>
    <t>90 min</t>
  </si>
  <si>
    <t>Beeinflussen</t>
  </si>
  <si>
    <t>Befestigen</t>
  </si>
  <si>
    <t>1 min</t>
  </si>
  <si>
    <t>1 Monat</t>
  </si>
  <si>
    <t>Beruhigen</t>
  </si>
  <si>
    <t>Besänftigen</t>
  </si>
  <si>
    <t>Beschleunigen</t>
  </si>
  <si>
    <t>Binden des Vertrauten</t>
  </si>
  <si>
    <t>Blaue Bannsphäre</t>
  </si>
  <si>
    <t>20 sec</t>
  </si>
  <si>
    <t>Blauer Zwingkreis</t>
  </si>
  <si>
    <t>Eichenholzreif (20 GS)</t>
  </si>
  <si>
    <t>Blenden</t>
  </si>
  <si>
    <t>Blendwerk</t>
  </si>
  <si>
    <t>50 m</t>
  </si>
  <si>
    <t>1W6x10 min</t>
  </si>
  <si>
    <t>Goldstaub (50 GS)</t>
  </si>
  <si>
    <t>Blitze schleudern</t>
  </si>
  <si>
    <t>200 m</t>
  </si>
  <si>
    <t>1-10 Strahlen</t>
  </si>
  <si>
    <t>getrocknetes Zitteraalherz (5 GS)</t>
  </si>
  <si>
    <t>Blutmeisterschaft</t>
  </si>
  <si>
    <t>60 min</t>
  </si>
  <si>
    <t>Böser Blick</t>
  </si>
  <si>
    <t>∞</t>
  </si>
  <si>
    <t>sm</t>
  </si>
  <si>
    <t>Brot und Wasser</t>
  </si>
  <si>
    <t>Mehlstaub und Wassertropfen (1 GS)</t>
  </si>
  <si>
    <t>Dämonenfeuer</t>
  </si>
  <si>
    <t>Strahl</t>
  </si>
  <si>
    <t>Phosphor (50 GS)</t>
  </si>
  <si>
    <t>Dämonenkugeln</t>
  </si>
  <si>
    <t>Dämonenschwert</t>
  </si>
  <si>
    <t>Dämonische Zaubermacht</t>
  </si>
  <si>
    <t>Deckmantel</t>
  </si>
  <si>
    <t>8 h, k</t>
  </si>
  <si>
    <t>Goldreif (50 GS)</t>
  </si>
  <si>
    <t>Dinge verbergen</t>
  </si>
  <si>
    <t>12 h</t>
  </si>
  <si>
    <t>Dinge wiederfinden</t>
  </si>
  <si>
    <t>Donnerkeil</t>
  </si>
  <si>
    <t>Murmeln aus Donnerechsenhorn (50 GS)</t>
  </si>
  <si>
    <t>Drittes Auge</t>
  </si>
  <si>
    <t>Kristallauge (10 GS)</t>
  </si>
  <si>
    <t>Dschungelwand</t>
  </si>
  <si>
    <t>Smaragd (50 GS)</t>
  </si>
  <si>
    <t>Eisenpulver (20 GS)</t>
  </si>
  <si>
    <t>Eisiger Nebel</t>
  </si>
  <si>
    <t>Bergkristall (20 GS)</t>
  </si>
  <si>
    <t>Eiswand</t>
  </si>
  <si>
    <t>Diamant (50 GS)</t>
  </si>
  <si>
    <t>Eiswandlung</t>
  </si>
  <si>
    <t>var</t>
  </si>
  <si>
    <t>reinstes Wasser (50 GS)</t>
  </si>
  <si>
    <t>Elementenwandlung</t>
  </si>
  <si>
    <t>5 m</t>
  </si>
  <si>
    <t>Ausgangselement</t>
  </si>
  <si>
    <t>Zielelement</t>
  </si>
  <si>
    <t>Edelstein (100 GS)</t>
  </si>
  <si>
    <t>Elfenfeuer</t>
  </si>
  <si>
    <t>Turmalin (50 GS)</t>
  </si>
  <si>
    <t>Elfenklinge</t>
  </si>
  <si>
    <t>Entgiften (Dweomer)</t>
  </si>
  <si>
    <t>Entgiften (Zauber)</t>
  </si>
  <si>
    <t>Erdbeben</t>
  </si>
  <si>
    <t>Erdfessel</t>
  </si>
  <si>
    <t>Honig-Erd-Gemisch (5 GS)</t>
  </si>
  <si>
    <t>Erdwandlung</t>
  </si>
  <si>
    <t>1 m³</t>
  </si>
  <si>
    <t>Bernstein (100 GS)</t>
  </si>
  <si>
    <t>Erheben der Toten</t>
  </si>
  <si>
    <t>alle</t>
  </si>
  <si>
    <t>1 m</t>
  </si>
  <si>
    <t>Erholung</t>
  </si>
  <si>
    <t>Erkennen der Aura</t>
  </si>
  <si>
    <t>30 m Kegel</t>
  </si>
  <si>
    <t>Erkennen von Besessenheit</t>
  </si>
  <si>
    <t>Erkennen von Gift</t>
  </si>
  <si>
    <t>1 m²</t>
  </si>
  <si>
    <t>Erkennen von Krankheit (Dweomer)</t>
  </si>
  <si>
    <t>Erkennen von Krankheit (Wundertat)</t>
  </si>
  <si>
    <t>Erkennen von Leben</t>
  </si>
  <si>
    <t>15 m Kegel</t>
  </si>
  <si>
    <t>Erkennen von Zauberei</t>
  </si>
  <si>
    <t>Erscheinungen</t>
  </si>
  <si>
    <t>Blütenstaub vom blauen Mohn (100 GS)</t>
  </si>
  <si>
    <t>Erwecken</t>
  </si>
  <si>
    <t>Tierkot (1 GS)</t>
  </si>
  <si>
    <t>Feenfluch</t>
  </si>
  <si>
    <t>Feenschutz</t>
  </si>
  <si>
    <t>Feenschwert</t>
  </si>
  <si>
    <t>Felsenfaust</t>
  </si>
  <si>
    <t>Kieselstein (1 SS)</t>
  </si>
  <si>
    <t>Fesselbann</t>
  </si>
  <si>
    <t>10 min, k</t>
  </si>
  <si>
    <t>Fadenstück einer Riesenspinne (50 GS)</t>
  </si>
  <si>
    <t>Feuerbienen</t>
  </si>
  <si>
    <t>Feuerfinger</t>
  </si>
  <si>
    <t>Feuerkugel</t>
  </si>
  <si>
    <t>Blutstein (30 GS)</t>
  </si>
  <si>
    <t>Feuerlanze</t>
  </si>
  <si>
    <t>Korallenstück (20 GS)</t>
  </si>
  <si>
    <t>Feuerlauf</t>
  </si>
  <si>
    <t>Feuermeisterschaft</t>
  </si>
  <si>
    <t xml:space="preserve">Geste </t>
  </si>
  <si>
    <t>Stück einer Drachenzunge (100 GS)</t>
  </si>
  <si>
    <t>Feuerregen</t>
  </si>
  <si>
    <t>100 m</t>
  </si>
  <si>
    <t>1 min, k</t>
  </si>
  <si>
    <t>Basaltstaub und Rubinsplitter (100 GS)</t>
  </si>
  <si>
    <t>Feuerring</t>
  </si>
  <si>
    <t>Zwergdrachenflügel und Zauberöl (100 GS)</t>
  </si>
  <si>
    <t>Feuerschild</t>
  </si>
  <si>
    <t>Diamantstaub (20 GS)</t>
  </si>
  <si>
    <t>Feuerwand</t>
  </si>
  <si>
    <t>Rubin (50 GS)</t>
  </si>
  <si>
    <t>Flammende Hand</t>
  </si>
  <si>
    <t>Flammenklinge</t>
  </si>
  <si>
    <t>Flammenkreis</t>
  </si>
  <si>
    <t>Zunder (1 SS)</t>
  </si>
  <si>
    <t>Flammenteppich</t>
  </si>
  <si>
    <t>Feuertopas (20 GS)</t>
  </si>
  <si>
    <t>Flicken</t>
  </si>
  <si>
    <t>Fliegen</t>
  </si>
  <si>
    <t>1 h, k</t>
  </si>
  <si>
    <t>Greifenschwungfeder (100 GS)</t>
  </si>
  <si>
    <t>Freundesauge</t>
  </si>
  <si>
    <t>500 m</t>
  </si>
  <si>
    <t>30 min, k</t>
  </si>
  <si>
    <t>Frostball</t>
  </si>
  <si>
    <t>Silberperle oder Bergkristall (10 GS)</t>
  </si>
  <si>
    <t>Funkenregen</t>
  </si>
  <si>
    <t>Sternenstaub (20 GS)</t>
  </si>
  <si>
    <t>Geisterhorn</t>
  </si>
  <si>
    <t>Kristallpyramide (10 GS)</t>
  </si>
  <si>
    <t>Geistersperre</t>
  </si>
  <si>
    <t>Eisenspäne (10 GS)</t>
  </si>
  <si>
    <t>Geistesschild</t>
  </si>
  <si>
    <t>Geräusche dämpfen</t>
  </si>
  <si>
    <t>5 min</t>
  </si>
  <si>
    <t>Goldene Sphäre</t>
  </si>
  <si>
    <t>Goldene Wehr</t>
  </si>
  <si>
    <t>Goldener Panzer</t>
  </si>
  <si>
    <t>Gottesgabe</t>
  </si>
  <si>
    <t>Göttliche Eingebung</t>
  </si>
  <si>
    <t>Göttlicher Blitz</t>
  </si>
  <si>
    <t>Göttlicher Schirm</t>
  </si>
  <si>
    <t>Göttlicher Schutz vor dem Bösen</t>
  </si>
  <si>
    <t>1 h</t>
  </si>
  <si>
    <t>Göttlicher Schutz vor Magie</t>
  </si>
  <si>
    <t>Graue Hand</t>
  </si>
  <si>
    <t>Grüne Hand</t>
  </si>
  <si>
    <t>Pflanzen</t>
  </si>
  <si>
    <t>pulverisierte Wurzeln, Frühlingsregen (20 GS)</t>
  </si>
  <si>
    <t>Hagel</t>
  </si>
  <si>
    <t>Wasser und Diamantsplitter (50 GS)</t>
  </si>
  <si>
    <t>Handauflegen</t>
  </si>
  <si>
    <t>Hauch der Betäubung</t>
  </si>
  <si>
    <t>getrocknetes Vampirmoos (10 GS)</t>
  </si>
  <si>
    <t>Hauch der Verwesung</t>
  </si>
  <si>
    <t>Stinkmorschelasche (2 GS)</t>
  </si>
  <si>
    <t>Hauch des Winters</t>
  </si>
  <si>
    <t>Schneewolfhaare (20 GS)</t>
  </si>
  <si>
    <t>Heilen schwerer Wunden</t>
  </si>
  <si>
    <t>Heilen von Krankheit</t>
  </si>
  <si>
    <t>Heilen von Wunden</t>
  </si>
  <si>
    <t>Heiliger Zorn</t>
  </si>
  <si>
    <t>Heiliges Wort</t>
  </si>
  <si>
    <t>Heimfeder</t>
  </si>
  <si>
    <t>Heranholen</t>
  </si>
  <si>
    <t>Hexenstreich</t>
  </si>
  <si>
    <t>Himmelsleiter</t>
  </si>
  <si>
    <t>3-9</t>
  </si>
  <si>
    <t>2 km</t>
  </si>
  <si>
    <t>Hitzeschutz</t>
  </si>
  <si>
    <t>Höhenblick</t>
  </si>
  <si>
    <t xml:space="preserve"> dä</t>
  </si>
  <si>
    <t>Auge eines Greifvogels (50 GS)</t>
  </si>
  <si>
    <t>Hören der Geister</t>
  </si>
  <si>
    <t>Hören von Fernem</t>
  </si>
  <si>
    <t>Hörnerklang</t>
  </si>
  <si>
    <t>Juwelenauge</t>
  </si>
  <si>
    <t>Kälteschutz</t>
  </si>
  <si>
    <t>Kraft entziehen</t>
  </si>
  <si>
    <t>Kraftraub</t>
  </si>
  <si>
    <t>Kraftspende</t>
  </si>
  <si>
    <t>Lähmung</t>
  </si>
  <si>
    <t>24 h</t>
  </si>
  <si>
    <t>Basiliskenschuppe (100 GS)</t>
  </si>
  <si>
    <t>Laufen wie der Wind</t>
  </si>
  <si>
    <t>Lauschen</t>
  </si>
  <si>
    <t>30 cm</t>
  </si>
  <si>
    <t>Lebensflammen</t>
  </si>
  <si>
    <t>Lebenskeule</t>
  </si>
  <si>
    <t>Lebensrettung</t>
  </si>
  <si>
    <t>Lebensstärkung</t>
  </si>
  <si>
    <t>Lichtbrücke</t>
  </si>
  <si>
    <t>Lichtrunen</t>
  </si>
  <si>
    <t>Nachtmarderhaarpinsel (50 GS)</t>
  </si>
  <si>
    <t>Liebeszauber</t>
  </si>
  <si>
    <t>Lindern von Entkräftung</t>
  </si>
  <si>
    <t>Lindern von Krankheit</t>
  </si>
  <si>
    <t>Linienlesen</t>
  </si>
  <si>
    <t>Liniensicht</t>
  </si>
  <si>
    <t>Linienwanderung</t>
  </si>
  <si>
    <t>Luftlauf</t>
  </si>
  <si>
    <t>Luftsphäre</t>
  </si>
  <si>
    <t>Perle (100 GS)</t>
  </si>
  <si>
    <t>Macht über das Selbst</t>
  </si>
  <si>
    <t>24 h, k</t>
  </si>
  <si>
    <t>Macht über die belebte Natur</t>
  </si>
  <si>
    <t>mind. 2 h</t>
  </si>
  <si>
    <t>Macht über die Sinne</t>
  </si>
  <si>
    <t>2-10 min</t>
  </si>
  <si>
    <t>Macht über Leben</t>
  </si>
  <si>
    <t>6 m</t>
  </si>
  <si>
    <t>Macht über magische Wesen</t>
  </si>
  <si>
    <t>Macht über Menschen</t>
  </si>
  <si>
    <t>Macht über Unbelebtes</t>
  </si>
  <si>
    <t>Magischer Kreis des Bewachens</t>
  </si>
  <si>
    <t>Magischer Kreis des Verschleierns</t>
  </si>
  <si>
    <t>Magischer Kreis des Widerstehens</t>
  </si>
  <si>
    <t>Magischer Kreis, klein</t>
  </si>
  <si>
    <t>mit Eisendraht umwickelte Zweige von Eiche, Esche und Weißdorn (10 GS)</t>
  </si>
  <si>
    <t>Marmorstaub (1 GS)</t>
  </si>
  <si>
    <t>Mitfühlen</t>
  </si>
  <si>
    <t>Mutlosigkeit</t>
  </si>
  <si>
    <t>Namenloses Grauen</t>
  </si>
  <si>
    <t>Schweiß von Alpträumenden (20 GS)</t>
  </si>
  <si>
    <t>Naturgeist rufen</t>
  </si>
  <si>
    <t>Nebel schaffen</t>
  </si>
  <si>
    <t>versiegeltes Fläschchen voll Nebel (10 GS)</t>
  </si>
  <si>
    <t>Nebel wecken</t>
  </si>
  <si>
    <t>Staub (1 GS)</t>
  </si>
  <si>
    <t>Person wiederfinden</t>
  </si>
  <si>
    <t>Pestklaue</t>
  </si>
  <si>
    <t>Pestkrötenklaue (50 GS)</t>
  </si>
  <si>
    <t>Pflanzenfessel</t>
  </si>
  <si>
    <t>Samenmischung (10 GS)</t>
  </si>
  <si>
    <t>Rauchwolke</t>
  </si>
  <si>
    <t>Asche und Zunder (1 GS)</t>
  </si>
  <si>
    <t>Reaktionsschnelle</t>
  </si>
  <si>
    <t>Reinigen</t>
  </si>
  <si>
    <t>1 kg</t>
  </si>
  <si>
    <t>Reise der Seele</t>
  </si>
  <si>
    <t>Eichenrinde (2 SS)</t>
  </si>
  <si>
    <t>Ring des Lebens</t>
  </si>
  <si>
    <t>Samen des Lebenskrautes (5 GS)</t>
  </si>
  <si>
    <t>Rost</t>
  </si>
  <si>
    <t>Rüstung der Rechtschaffenen</t>
  </si>
  <si>
    <t>Schallwächter</t>
  </si>
  <si>
    <t>Golddrahtreif (10 GS)</t>
  </si>
  <si>
    <t>Scharfblick</t>
  </si>
  <si>
    <t>Schatten verstärken</t>
  </si>
  <si>
    <t>Schattenrobe</t>
  </si>
  <si>
    <t>Schattenschrecken</t>
  </si>
  <si>
    <t>Schlachtenwahnsinn</t>
  </si>
  <si>
    <t>Schlaf</t>
  </si>
  <si>
    <t>Lotusblütenstaub (10 GS)</t>
  </si>
  <si>
    <t>Schlangenbiss</t>
  </si>
  <si>
    <t>Schlangengift (20 GS)</t>
  </si>
  <si>
    <t>Schlummer</t>
  </si>
  <si>
    <t>Baldrianwurzel (5 GS)</t>
  </si>
  <si>
    <t>Schmerzen</t>
  </si>
  <si>
    <t>Silber- oder Knochennadel (5 GS)</t>
  </si>
  <si>
    <t>Schnellheilung</t>
  </si>
  <si>
    <t>Schrumpfen</t>
  </si>
  <si>
    <t>Schützende Hülle</t>
  </si>
  <si>
    <t>var, k</t>
  </si>
  <si>
    <t>Schutzgeist</t>
  </si>
  <si>
    <t>Schutzgeste</t>
  </si>
  <si>
    <t>Schwäche</t>
  </si>
  <si>
    <t>Eschenrinde (1 GS)</t>
  </si>
  <si>
    <t>Schwarm</t>
  </si>
  <si>
    <t>Schwarze Sphäre</t>
  </si>
  <si>
    <t>Schwarze Zone</t>
  </si>
  <si>
    <t>Schweben</t>
  </si>
  <si>
    <t>Kolibriflügel (100 GS)</t>
  </si>
  <si>
    <t>Schwerelosigkeit</t>
  </si>
  <si>
    <t>Schwingenkeule</t>
  </si>
  <si>
    <t>Seelenheilung</t>
  </si>
  <si>
    <t>Seelenkompass</t>
  </si>
  <si>
    <t>6 km</t>
  </si>
  <si>
    <t>Segnen</t>
  </si>
  <si>
    <t>Sehen in Dunkelheit</t>
  </si>
  <si>
    <t>Sehen von Verborgenem</t>
  </si>
  <si>
    <t>Silberne Bannsphäre</t>
  </si>
  <si>
    <t>Silberner Zwingkreis</t>
  </si>
  <si>
    <t>Silberreif (50 GS)</t>
  </si>
  <si>
    <t>Silberstaub</t>
  </si>
  <si>
    <t>Silberstaub (2 GS)</t>
  </si>
  <si>
    <t>Spruch intensivieren</t>
  </si>
  <si>
    <t>getrockneter Fliegenpilz (1 GS)</t>
  </si>
  <si>
    <t>Steinkugel</t>
  </si>
  <si>
    <t>Steinwand</t>
  </si>
  <si>
    <t>Bernstein (50 GS)</t>
  </si>
  <si>
    <t>Stille</t>
  </si>
  <si>
    <t>pulverisierte Eulenfedern (2 GS)</t>
  </si>
  <si>
    <t>Stimmenwerfen</t>
  </si>
  <si>
    <t>Strahlender Panzer</t>
  </si>
  <si>
    <t>Sturmhand</t>
  </si>
  <si>
    <t>Sturmwind</t>
  </si>
  <si>
    <t>Sumpfboden</t>
  </si>
  <si>
    <t>Wasserlinsen (1 GS)</t>
  </si>
  <si>
    <t>Thursenstein</t>
  </si>
  <si>
    <t>Tiere rufen</t>
  </si>
  <si>
    <t>Fellstück, Feder usw. (1 GS)</t>
  </si>
  <si>
    <t>Tierischer Helfer</t>
  </si>
  <si>
    <t>Tierisches Handeln</t>
  </si>
  <si>
    <t>Tierblutmischung (50 GS)</t>
  </si>
  <si>
    <t>Todeshauch</t>
  </si>
  <si>
    <t>Fliegenpilzasche (1 GS)</t>
  </si>
  <si>
    <t>Todeskeule</t>
  </si>
  <si>
    <t>Todeszauber</t>
  </si>
  <si>
    <t>Torwandeln</t>
  </si>
  <si>
    <t>Umkehrschild</t>
  </si>
  <si>
    <t>versilberte Drachenschuppe (100 GS)</t>
  </si>
  <si>
    <t>Ungezieferplage</t>
  </si>
  <si>
    <t>1 Schwarm</t>
  </si>
  <si>
    <t>Unsichtbarkeit</t>
  </si>
  <si>
    <t>Verdorren</t>
  </si>
  <si>
    <t>Vereisen</t>
  </si>
  <si>
    <t>Verfluchen</t>
  </si>
  <si>
    <t>Vergiften</t>
  </si>
  <si>
    <t>Vergrößern</t>
  </si>
  <si>
    <t>Verkleinern</t>
  </si>
  <si>
    <t>Verlangsamen</t>
  </si>
  <si>
    <t>Blei (20 GS)</t>
  </si>
  <si>
    <t>Vermehren</t>
  </si>
  <si>
    <t>Verschmutzen</t>
  </si>
  <si>
    <t>Versetzen</t>
  </si>
  <si>
    <t>Phosphorkreide (200 GS)</t>
  </si>
  <si>
    <t>Versteinern</t>
  </si>
  <si>
    <t>Vertieren</t>
  </si>
  <si>
    <t>Tierspeichelmischung (20 GS)</t>
  </si>
  <si>
    <t>Verursachen schwerer Wunden</t>
  </si>
  <si>
    <t>Verursachen von Krankheit</t>
  </si>
  <si>
    <t>3W6 Tage</t>
  </si>
  <si>
    <t>Verursachen von Wunden</t>
  </si>
  <si>
    <t>Verwandlung</t>
  </si>
  <si>
    <t>Verwirren</t>
  </si>
  <si>
    <t>Verwünschen</t>
  </si>
  <si>
    <t>Verzweiflung</t>
  </si>
  <si>
    <t>in Alkohol gelöste Kräutermischung (50 GS)</t>
  </si>
  <si>
    <t>Vision</t>
  </si>
  <si>
    <t>alle (mind. 3)</t>
  </si>
  <si>
    <t>Wachsen</t>
  </si>
  <si>
    <t>Waffensegen</t>
  </si>
  <si>
    <t>Waffenwirbel</t>
  </si>
  <si>
    <t>Wagemut</t>
  </si>
  <si>
    <t>Wahnsinn</t>
  </si>
  <si>
    <t>Birkenrinde und Blüten des Wahnsinnkrautes (50 GS)</t>
  </si>
  <si>
    <t>Wahrsehen</t>
  </si>
  <si>
    <t>vierblättriger Klee (10 GS)</t>
  </si>
  <si>
    <t>Wandeln wie der Wind</t>
  </si>
  <si>
    <t>Flugsamen verschiedener Pflanzen (5 SS)</t>
  </si>
  <si>
    <t>Wandwandeln</t>
  </si>
  <si>
    <t>Warnung</t>
  </si>
  <si>
    <t>Einhornhaar und Espenholz (50 GS)</t>
  </si>
  <si>
    <t>Wasseratmen</t>
  </si>
  <si>
    <t>Wasserlauf</t>
  </si>
  <si>
    <t>Wassermeisterschaft</t>
  </si>
  <si>
    <t>Wasserstrahl</t>
  </si>
  <si>
    <t>Riesenkrakentrichter (100 GS)</t>
  </si>
  <si>
    <t>Wasserwandlung</t>
  </si>
  <si>
    <t>reines Eis (50 GS)</t>
  </si>
  <si>
    <t>Windmeisterschaft</t>
  </si>
  <si>
    <t>Sturmvogelfedern (10 GS)</t>
  </si>
  <si>
    <t>Windstoß</t>
  </si>
  <si>
    <t>Wirbelwind</t>
  </si>
  <si>
    <t>Wittern</t>
  </si>
  <si>
    <t>Spürhundhaare (5 GS)</t>
  </si>
  <si>
    <t>Wort der Trauer</t>
  </si>
  <si>
    <t>Wort des Lebens</t>
  </si>
  <si>
    <t>Wundersame Tarnung</t>
  </si>
  <si>
    <t>Zähmen</t>
  </si>
  <si>
    <t>Zauberauge</t>
  </si>
  <si>
    <t>Auge eines Toten (50 GS)</t>
  </si>
  <si>
    <t>Zauberhand</t>
  </si>
  <si>
    <t>Wachspuppe (20 GS)</t>
  </si>
  <si>
    <t>Zauberschild</t>
  </si>
  <si>
    <t>Drachenschuppe (100 GS)</t>
  </si>
  <si>
    <t>Zauberschlaf</t>
  </si>
  <si>
    <t>Lotusblütenstaub und Blutrosendorn (20 GS)</t>
  </si>
  <si>
    <t>Zauberschloss</t>
  </si>
  <si>
    <t>Silberschlüssel (50 GS)</t>
  </si>
  <si>
    <t>Zauberschlüssel</t>
  </si>
  <si>
    <t>Springwurzspan (50 GS)</t>
  </si>
  <si>
    <t>Zauberschmiede</t>
  </si>
  <si>
    <t>Zaubersprung</t>
  </si>
  <si>
    <t>Zauberstimme</t>
  </si>
  <si>
    <t>Papageienzunge (20 GS)</t>
  </si>
  <si>
    <t>Zauberwirklichkeit</t>
  </si>
  <si>
    <t>3 h</t>
  </si>
  <si>
    <t>Blütenstaub, Essenzen, Edelmetallsplitter (200 GS)</t>
  </si>
  <si>
    <t>Zauberzunge</t>
  </si>
  <si>
    <t>Papageienhirn und -zunge (50 GS)</t>
  </si>
  <si>
    <t>Zeichen des Lebens</t>
  </si>
  <si>
    <t>Zielsuche</t>
  </si>
  <si>
    <t>Zweite Haut</t>
  </si>
  <si>
    <t>Zwiesprache</t>
  </si>
  <si>
    <t>Buch</t>
  </si>
  <si>
    <t>Seite</t>
  </si>
  <si>
    <t>Arkanum</t>
  </si>
  <si>
    <t>2:Ws</t>
  </si>
  <si>
    <t>1:Grad</t>
  </si>
  <si>
    <t>2:Blitz</t>
  </si>
  <si>
    <t>1+1:Wunde</t>
  </si>
  <si>
    <t>1:m</t>
  </si>
  <si>
    <t>1:m²</t>
  </si>
  <si>
    <t>1:Ws</t>
  </si>
  <si>
    <t>2:Grad</t>
  </si>
  <si>
    <t>1:5m²</t>
  </si>
  <si>
    <t>3:Pers</t>
  </si>
  <si>
    <t>1:10 sec</t>
  </si>
  <si>
    <t>1:Var</t>
  </si>
  <si>
    <t>3:Grad</t>
  </si>
  <si>
    <t>4:Ws</t>
  </si>
  <si>
    <t>1+1:10 sec</t>
  </si>
  <si>
    <t>6:Ws</t>
  </si>
  <si>
    <t>1:SP</t>
  </si>
  <si>
    <t>6:Seite</t>
  </si>
  <si>
    <t>4:Seite</t>
  </si>
  <si>
    <t>9 m UK</t>
  </si>
  <si>
    <t>bis 5 km</t>
  </si>
  <si>
    <t>1 Ws</t>
  </si>
  <si>
    <t>1-6 Ws</t>
  </si>
  <si>
    <t>1-10 Ws</t>
  </si>
  <si>
    <t>1-3 Ws</t>
  </si>
  <si>
    <t>1 Ob</t>
  </si>
  <si>
    <t>1 Ws/Ob</t>
  </si>
  <si>
    <t>1 m UK</t>
  </si>
  <si>
    <t>3 m UK</t>
  </si>
  <si>
    <t>15 m UK</t>
  </si>
  <si>
    <t>1 km UK</t>
  </si>
  <si>
    <t>6 m UK</t>
  </si>
  <si>
    <t>100 m UK</t>
  </si>
  <si>
    <t>2 m UK</t>
  </si>
  <si>
    <t>30 m UK</t>
  </si>
  <si>
    <t>12 m UK</t>
  </si>
  <si>
    <t>2 km UK</t>
  </si>
  <si>
    <t>10 m UK</t>
  </si>
  <si>
    <t>50 m UK</t>
  </si>
  <si>
    <t>500 m UK</t>
  </si>
  <si>
    <t>5 m UK</t>
  </si>
  <si>
    <t>3-6 m UK</t>
  </si>
  <si>
    <t>Z</t>
  </si>
  <si>
    <t>bis 10 m³</t>
  </si>
  <si>
    <t>bis 1 m³</t>
  </si>
  <si>
    <t>1-7 Ws</t>
  </si>
  <si>
    <t>bis 10 m²</t>
  </si>
  <si>
    <t>bis 100 m²</t>
  </si>
  <si>
    <t>bis 18 m UK</t>
  </si>
  <si>
    <t>bis 6 Ws</t>
  </si>
  <si>
    <t>1 Ws:Grad</t>
  </si>
  <si>
    <t>bis 10 min</t>
  </si>
  <si>
    <t>10 sec:Grad</t>
  </si>
  <si>
    <t>bis 30 min</t>
  </si>
  <si>
    <t>Schwierigkeit</t>
  </si>
  <si>
    <t>Handaxt</t>
  </si>
  <si>
    <t>normal</t>
  </si>
  <si>
    <t>nah</t>
  </si>
  <si>
    <t>Keule</t>
  </si>
  <si>
    <t>1W6-1</t>
  </si>
  <si>
    <t>Kriegshammer</t>
  </si>
  <si>
    <t>Schlachtbeil, einhändig</t>
  </si>
  <si>
    <t>1W6+1</t>
  </si>
  <si>
    <t>Streitaxt</t>
  </si>
  <si>
    <t>Streitkolben</t>
  </si>
  <si>
    <t>Anderthalbhänder, einhändig</t>
  </si>
  <si>
    <t>Langschwert</t>
  </si>
  <si>
    <t>Florett</t>
  </si>
  <si>
    <t>schwer</t>
  </si>
  <si>
    <t>2W6-4</t>
  </si>
  <si>
    <t>Fuchtel</t>
  </si>
  <si>
    <t>Rapier</t>
  </si>
  <si>
    <t>Kriegsflegel</t>
  </si>
  <si>
    <t>sehr schwer</t>
  </si>
  <si>
    <t>2W6-1</t>
  </si>
  <si>
    <t>Morgenstern</t>
  </si>
  <si>
    <t>1W6+2</t>
  </si>
  <si>
    <t>NunChaku</t>
  </si>
  <si>
    <t>Glefe, stechend</t>
  </si>
  <si>
    <t>leicht</t>
  </si>
  <si>
    <t>Hellebarde, stechend</t>
  </si>
  <si>
    <t>Speer, leichter</t>
  </si>
  <si>
    <t>Stielhammer, stechend</t>
  </si>
  <si>
    <t>Stoßspeer</t>
  </si>
  <si>
    <t>Dolch</t>
  </si>
  <si>
    <t>Kurzschwert</t>
  </si>
  <si>
    <t>Ochsenzunge</t>
  </si>
  <si>
    <t>Bo-Stab</t>
  </si>
  <si>
    <t>Kampfstab</t>
  </si>
  <si>
    <t>Magierstab</t>
  </si>
  <si>
    <t>leicht*</t>
  </si>
  <si>
    <t>Magierstecken</t>
  </si>
  <si>
    <t>Barbarenstreitaxt</t>
  </si>
  <si>
    <t>Glefe, schlagend</t>
  </si>
  <si>
    <t>Hellebarde, schlagend</t>
  </si>
  <si>
    <t>Ogerhammer</t>
  </si>
  <si>
    <t>4W6-4</t>
  </si>
  <si>
    <t>Schlachtbeil, beidhändig</t>
  </si>
  <si>
    <t>1W6+3</t>
  </si>
  <si>
    <t>Stabkeule</t>
  </si>
  <si>
    <t>2W6-2</t>
  </si>
  <si>
    <t>Stielhammer, schlagend</t>
  </si>
  <si>
    <t>Bihänder</t>
  </si>
  <si>
    <t>Buckler</t>
  </si>
  <si>
    <t>1W6-3</t>
  </si>
  <si>
    <t>Kampfgabeln</t>
  </si>
  <si>
    <t>Wurfaxt</t>
  </si>
  <si>
    <t>10/20/30</t>
  </si>
  <si>
    <t>Wurfeisen</t>
  </si>
  <si>
    <t>10/20/50</t>
  </si>
  <si>
    <t>Wurfhammer</t>
  </si>
  <si>
    <t>Wurfkeule</t>
  </si>
  <si>
    <t>Wurfmesser</t>
  </si>
  <si>
    <t>10/15/20</t>
  </si>
  <si>
    <t>Wurfpfeil</t>
  </si>
  <si>
    <t>1W6-2</t>
  </si>
  <si>
    <t>Wurfscheibe</t>
  </si>
  <si>
    <t>Wurfstern</t>
  </si>
  <si>
    <t>5/10/15</t>
  </si>
  <si>
    <t>Speerschleuder</t>
  </si>
  <si>
    <t>20/40/70</t>
  </si>
  <si>
    <t>Wurfspeer</t>
  </si>
  <si>
    <t>10/30/50</t>
  </si>
  <si>
    <t>Wurfspieß</t>
  </si>
  <si>
    <t>30/120/220</t>
  </si>
  <si>
    <t>30/120/240</t>
  </si>
  <si>
    <t>Handarmbrust</t>
  </si>
  <si>
    <t>5/7/10</t>
  </si>
  <si>
    <t>Bogen</t>
  </si>
  <si>
    <t>30/100/180</t>
  </si>
  <si>
    <t>Kompositbogen</t>
  </si>
  <si>
    <t>30/120/200</t>
  </si>
  <si>
    <t>Kurzbogen</t>
  </si>
  <si>
    <t>30/80/120</t>
  </si>
  <si>
    <t>Langbogen</t>
  </si>
  <si>
    <t>Schleuder</t>
  </si>
  <si>
    <t>30/60/90</t>
  </si>
  <si>
    <t>Stockschleuder</t>
  </si>
  <si>
    <t>50/100/180</t>
  </si>
  <si>
    <t>Spezialwaffen</t>
  </si>
  <si>
    <t>Spezialgebiet Magier</t>
  </si>
  <si>
    <t>Resistenzen</t>
  </si>
  <si>
    <t>Talisman</t>
  </si>
  <si>
    <t>Geistmagie</t>
  </si>
  <si>
    <t>Magie</t>
  </si>
  <si>
    <t>x</t>
  </si>
  <si>
    <t>Hören+2</t>
  </si>
  <si>
    <t>Riechen+2</t>
  </si>
  <si>
    <t>Nachtsicht+2</t>
  </si>
  <si>
    <t>Robustheit+9</t>
  </si>
  <si>
    <t>freie Wahl und zweiter Wurf</t>
  </si>
  <si>
    <t>Robustheit+12</t>
  </si>
  <si>
    <t>Berggnom</t>
  </si>
  <si>
    <t>Waldgnom</t>
  </si>
  <si>
    <t>Spurensuche+3</t>
  </si>
  <si>
    <t>Schleichen+6</t>
  </si>
  <si>
    <t>Zwerg, Berggnom</t>
  </si>
  <si>
    <t>Fallen entdecken+3</t>
  </si>
  <si>
    <t>Fallenmechanik+3</t>
  </si>
  <si>
    <t>Elf, Halbling</t>
  </si>
  <si>
    <t>Tarnen+6</t>
  </si>
  <si>
    <t>Halbling, Waldgnom</t>
  </si>
  <si>
    <t>Elf, Waldgnom</t>
  </si>
  <si>
    <t>Spurensuche</t>
  </si>
  <si>
    <t>Schleichen*</t>
  </si>
  <si>
    <t>Fallen entdecken</t>
  </si>
  <si>
    <t>Fallenmechanik</t>
  </si>
  <si>
    <t>Tarnen</t>
  </si>
  <si>
    <t>Berggnom, Waldgnom</t>
  </si>
  <si>
    <t>Gute Reflexe+9</t>
  </si>
  <si>
    <t>Berggnom, Waldgnom, Elf, Zwerg</t>
  </si>
  <si>
    <t>Mindest-St</t>
  </si>
  <si>
    <t>Mindest-Gs</t>
  </si>
  <si>
    <t>Mindest-Gw</t>
  </si>
  <si>
    <t>leichte Armbrust</t>
  </si>
  <si>
    <t>schwere Armbrust</t>
  </si>
  <si>
    <t>kurzes Blasrohr</t>
  </si>
  <si>
    <t>langes Blasrohr</t>
  </si>
  <si>
    <t>Schaden von Waffen + SchB + Magie-SchB</t>
  </si>
  <si>
    <t>0</t>
  </si>
  <si>
    <t>Elfen</t>
  </si>
  <si>
    <t>St max 90</t>
  </si>
  <si>
    <t>Gw min 81</t>
  </si>
  <si>
    <t>Au min 80</t>
  </si>
  <si>
    <t>Gnome</t>
  </si>
  <si>
    <t>St max 60</t>
  </si>
  <si>
    <t>Ko min 51</t>
  </si>
  <si>
    <t>Au max 80</t>
  </si>
  <si>
    <t>Halblinge</t>
  </si>
  <si>
    <t>St max 80</t>
  </si>
  <si>
    <t>Gs min 61</t>
  </si>
  <si>
    <t>Gw min 91</t>
  </si>
  <si>
    <t>Ko min 41</t>
  </si>
  <si>
    <t>Zwerge</t>
  </si>
  <si>
    <t>Gw max 80</t>
  </si>
  <si>
    <t>Ko min 61</t>
  </si>
  <si>
    <t>St min 61</t>
  </si>
  <si>
    <t>Gs min 81</t>
  </si>
  <si>
    <t>In min 51</t>
  </si>
  <si>
    <t>Zt min 51</t>
  </si>
  <si>
    <t>Angeborene Fähigkeiten für Nicht-Menschen</t>
  </si>
  <si>
    <t>Besondere Fähigkeiten für Nicht-Menschen</t>
  </si>
  <si>
    <t>St (D13)</t>
  </si>
  <si>
    <t>Gs (K13)</t>
  </si>
  <si>
    <t>Gw (R13)</t>
  </si>
  <si>
    <t>Ko (Y13)</t>
  </si>
  <si>
    <t>In (AF13)</t>
  </si>
  <si>
    <t>Zt (D15)</t>
  </si>
  <si>
    <t>Au (K15)</t>
  </si>
  <si>
    <t xml:space="preserve">Vorderseite: Färbt Zellen Rot, wenn </t>
  </si>
  <si>
    <t>Mindest-/Höchstwerte nicht erfüllt sind</t>
  </si>
  <si>
    <t>Besondere Fähigkeit</t>
  </si>
  <si>
    <t>Ab W%</t>
  </si>
  <si>
    <t>Besondere Fähigkeiten</t>
  </si>
  <si>
    <t>Sechster Sinn + 2</t>
  </si>
  <si>
    <t>Sehen + 2</t>
  </si>
  <si>
    <t>Hören + 2</t>
  </si>
  <si>
    <t>Riechen + 2</t>
  </si>
  <si>
    <t>Nachtsicht + 2</t>
  </si>
  <si>
    <t>Gute Reﬂexe + 9</t>
  </si>
  <si>
    <t>Richtungssinn + 12</t>
  </si>
  <si>
    <t>Robustheit + 9</t>
  </si>
  <si>
    <t>Schmerzunempﬁndlichkeit + 9</t>
  </si>
  <si>
    <t>Trinken + 12</t>
  </si>
  <si>
    <t>Wachgabe + 6</t>
  </si>
  <si>
    <t>Wahrnehmung + 8</t>
  </si>
  <si>
    <t>Einprägen + 4</t>
  </si>
  <si>
    <t>Wahrnehmung</t>
  </si>
  <si>
    <t>Erschaffungshilfe</t>
  </si>
  <si>
    <t>Vorderseite</t>
  </si>
  <si>
    <t>Ausrüstung</t>
  </si>
  <si>
    <t>EP-Tabelle</t>
  </si>
  <si>
    <t>Gradermittlung bis Grad 30 anhand des GES</t>
  </si>
  <si>
    <t>Land</t>
  </si>
  <si>
    <t>Sprache</t>
  </si>
  <si>
    <t>Aran</t>
  </si>
  <si>
    <t>Eschar</t>
  </si>
  <si>
    <t>Alba</t>
  </si>
  <si>
    <t>Albisch</t>
  </si>
  <si>
    <t>Aranisch</t>
  </si>
  <si>
    <t>Chryseia</t>
  </si>
  <si>
    <t>Chryseisch</t>
  </si>
  <si>
    <t>Erainn</t>
  </si>
  <si>
    <t>Erainnisch</t>
  </si>
  <si>
    <t>Ywerddon</t>
  </si>
  <si>
    <t>Urruti</t>
  </si>
  <si>
    <t>Hurritisch</t>
  </si>
  <si>
    <t>KanThaiPan</t>
  </si>
  <si>
    <t>KanThaiTun</t>
  </si>
  <si>
    <t>Buluga</t>
  </si>
  <si>
    <t>Kibulugisch</t>
  </si>
  <si>
    <t>Medjis</t>
  </si>
  <si>
    <t>Medjisisch</t>
  </si>
  <si>
    <t>Minangpahit</t>
  </si>
  <si>
    <t>Minangpahitisch</t>
  </si>
  <si>
    <t>Moravod</t>
  </si>
  <si>
    <t>Moravisch</t>
  </si>
  <si>
    <t>Nahuatlan</t>
  </si>
  <si>
    <t>Nahuatlantisch</t>
  </si>
  <si>
    <t>Küstenstaaten</t>
  </si>
  <si>
    <t>Neu-Vallinga</t>
  </si>
  <si>
    <t>Ikengabecken</t>
  </si>
  <si>
    <t>Ongana</t>
  </si>
  <si>
    <t>Rawindra</t>
  </si>
  <si>
    <t>Rawindi</t>
  </si>
  <si>
    <t>Scharidisch</t>
  </si>
  <si>
    <t>Tegarische Steppe</t>
  </si>
  <si>
    <t>Tegarisch</t>
  </si>
  <si>
    <t>Clanngadarn</t>
  </si>
  <si>
    <t>Fuardain</t>
  </si>
  <si>
    <t>Twyneddisch</t>
  </si>
  <si>
    <t>Valian</t>
  </si>
  <si>
    <t>Vallinga</t>
  </si>
  <si>
    <t>Waeland</t>
  </si>
  <si>
    <t>Waelska</t>
  </si>
  <si>
    <t>Rückseite</t>
  </si>
  <si>
    <t>Prüfung, ob Mindestwerte für Waffen erfüllt sind</t>
  </si>
  <si>
    <t>Tabellenblatt</t>
  </si>
  <si>
    <t>21. Geburtsdatum bestimmen</t>
  </si>
  <si>
    <t>unfrei</t>
  </si>
  <si>
    <t>Volk</t>
  </si>
  <si>
    <t>Mittelschicht</t>
  </si>
  <si>
    <t>Adel</t>
  </si>
  <si>
    <t>StandMod</t>
  </si>
  <si>
    <t>1. Basiseigenschaften</t>
  </si>
  <si>
    <t>7. Bewegungsweite</t>
  </si>
  <si>
    <t>6.b. AP</t>
  </si>
  <si>
    <t>11. Besondere Fähigkeit</t>
  </si>
  <si>
    <t>16.a. Größe</t>
  </si>
  <si>
    <t>16.b. Gewicht</t>
  </si>
  <si>
    <t>Berggnom / Waldgnom (0,91m bis 1,02m)</t>
  </si>
  <si>
    <t>Berggnom / Waldgnom (4kg bis 36kg)</t>
  </si>
  <si>
    <t>Mensch männlich (1,52m bis 2,00m)</t>
  </si>
  <si>
    <t>Mensch weiblich (1,42m bis 1,90m)</t>
  </si>
  <si>
    <t>Mensch männlich (36kg bis 114kg)</t>
  </si>
  <si>
    <t>Mensch weiblich (22kg bis 100kg)</t>
  </si>
  <si>
    <t>Kodex</t>
  </si>
  <si>
    <t>alle Rassen</t>
  </si>
  <si>
    <t>alle Waffen</t>
  </si>
  <si>
    <t>alle Fertigkeiten</t>
  </si>
  <si>
    <t>alle Zauber</t>
  </si>
  <si>
    <t>alle Abenteurertypen</t>
  </si>
  <si>
    <t>Reiterkampf + 0</t>
  </si>
  <si>
    <t>Trinken anhand der Ko bzw. Besondere Fähigkeit</t>
  </si>
  <si>
    <t>Laufen (EW) wird bei der B berücksichtigt!</t>
  </si>
  <si>
    <t>Athletik (EW) wird beim Au berücksichtigt!</t>
  </si>
  <si>
    <t>Keine Prüfung, ob der Abenteurertyp für die Rasse erlaubt ist.</t>
  </si>
  <si>
    <t>Nein</t>
  </si>
  <si>
    <t>Gnom, Halbling</t>
  </si>
  <si>
    <t>Prüfung, ob Gnom oder Halbling Waffe führen darf</t>
  </si>
  <si>
    <t>WM-4 bei Überlast (Kodex S.58)</t>
  </si>
  <si>
    <t>Riechen - 2</t>
  </si>
  <si>
    <t>Hören - 2</t>
  </si>
  <si>
    <t>Sehen - 2</t>
  </si>
  <si>
    <t>Typische Fertigkeit</t>
  </si>
  <si>
    <t>Alltag</t>
  </si>
  <si>
    <t>Freiland</t>
  </si>
  <si>
    <t>Halbwelt</t>
  </si>
  <si>
    <t>Kampf</t>
  </si>
  <si>
    <t>Sozial</t>
  </si>
  <si>
    <t>Unterwelt</t>
  </si>
  <si>
    <t>Wissen</t>
  </si>
  <si>
    <t>Beherrschen, Verändern</t>
  </si>
  <si>
    <t>Zauberart</t>
  </si>
  <si>
    <t>Dweomer, Wundertaten</t>
  </si>
  <si>
    <t>Typischer Zauber</t>
  </si>
  <si>
    <t>Typische Zauber</t>
  </si>
  <si>
    <t>Lerneinheiten</t>
  </si>
  <si>
    <t>Meucheln+8</t>
  </si>
  <si>
    <t>Spurensuche+8 &amp; Überleben+8 (Heimatlandschaft)</t>
  </si>
  <si>
    <t>Pflanzenkunde+8 &amp; Schreiben+12 (Ogam-Zeichen)</t>
  </si>
  <si>
    <t>Fechten+5 oder Beidhändiger Kampf+5</t>
  </si>
  <si>
    <t>Geschäftssinn+8</t>
  </si>
  <si>
    <t>Gassenwissen+8 oder Verführen+8</t>
  </si>
  <si>
    <t>Kampf in Vollrüstung+5</t>
  </si>
  <si>
    <t>Athletik+8 oder Meditieren+8</t>
  </si>
  <si>
    <t>Tierkunde+8 &amp; Überleben+8 (Heimatlandschaft)</t>
  </si>
  <si>
    <t>Fallenmechanik+8 oder Geschäftssinn+8</t>
  </si>
  <si>
    <t>Scharfschießen+5</t>
  </si>
  <si>
    <t>Bannen von Finsterwerk oder Strahlender Panzer</t>
  </si>
  <si>
    <t>Austreibung des Bösen oder Bannen von Gift</t>
  </si>
  <si>
    <t>keine Dweomer, Wundertaten, Zauberlieder</t>
  </si>
  <si>
    <t>Aus jeder Gruppe darf max. 1 LE benutzt werden, um eine leichte oder normale Alltagsfertigkeit zu lernen.</t>
  </si>
  <si>
    <t>Lederbeutel mit Zaubermaterial (jeweils 1x pro Zauber)</t>
  </si>
  <si>
    <t>+Rüstung</t>
  </si>
  <si>
    <t>Beachten beim Erreichen eines neuen Grades (Kodex S.165)</t>
  </si>
  <si>
    <t>Excel*</t>
  </si>
  <si>
    <t>* automatische Berechnung / Berücksichtigung durch Excel (Formeln)</t>
  </si>
  <si>
    <t>Zwergenhort</t>
  </si>
  <si>
    <t>keine Steigerung</t>
  </si>
  <si>
    <t>Willenskraft (Wk)</t>
  </si>
  <si>
    <t>persönliche Ausstrahlung (pA)</t>
  </si>
  <si>
    <t>Aussehen (Au)</t>
  </si>
  <si>
    <t>Stärke (St)</t>
  </si>
  <si>
    <t>Geschicklichkeit (Gs)</t>
  </si>
  <si>
    <t>Gewandtheit (Gw)</t>
  </si>
  <si>
    <t>Konstitution (Ko)</t>
  </si>
  <si>
    <t>Intelligenz (In)</t>
  </si>
  <si>
    <t>Zaubertalent (Zt)</t>
  </si>
  <si>
    <t>freie Wahl</t>
  </si>
  <si>
    <t>Gesteigerte Eigenschaft</t>
  </si>
  <si>
    <t>Steigerung der Eigenschaft</t>
  </si>
  <si>
    <t>Runden</t>
  </si>
  <si>
    <t>Wirkung</t>
  </si>
  <si>
    <t>Notizzettel</t>
  </si>
  <si>
    <t>Edelsteine &amp; Juwelen</t>
  </si>
  <si>
    <t>Sprechen: Comentang</t>
  </si>
  <si>
    <t>Sprechen:Muttersprache anhand der Heimat bzw. Rasse</t>
  </si>
  <si>
    <t>Mindesthort für Zwerge in GS</t>
  </si>
  <si>
    <t>Elfen dürfen Fälschen nicht lernen!</t>
  </si>
  <si>
    <t>Elfen dürfen Gassenwissen nicht lernen!</t>
  </si>
  <si>
    <t>Elfen dürfen Glücksspiel nicht lernen!</t>
  </si>
  <si>
    <t>Elfen dürfen Meucheln nicht lernen!</t>
  </si>
  <si>
    <t>Elfen dürfen Schlösser öffnen nicht lernen!</t>
  </si>
  <si>
    <t>Elfen dürfen Stehlen nicht lernen!</t>
  </si>
  <si>
    <t>As</t>
  </si>
  <si>
    <t>Bb</t>
  </si>
  <si>
    <t>Ba</t>
  </si>
  <si>
    <t>Dr</t>
  </si>
  <si>
    <t>Gl</t>
  </si>
  <si>
    <t>Hä</t>
  </si>
  <si>
    <t>Hx</t>
  </si>
  <si>
    <t>Kr</t>
  </si>
  <si>
    <t>Ma</t>
  </si>
  <si>
    <t>Or</t>
  </si>
  <si>
    <t>PB</t>
  </si>
  <si>
    <t>PS</t>
  </si>
  <si>
    <t>Sc</t>
  </si>
  <si>
    <t>Sp</t>
  </si>
  <si>
    <t>Wa</t>
  </si>
  <si>
    <t>Elfe</t>
  </si>
  <si>
    <t>Berggnomin</t>
  </si>
  <si>
    <t>Waldgnomin</t>
  </si>
  <si>
    <t>Zwergin</t>
  </si>
  <si>
    <t>Typ_weiblich</t>
  </si>
  <si>
    <t>Barbarin</t>
  </si>
  <si>
    <t>Bardin</t>
  </si>
  <si>
    <t>Druidin</t>
  </si>
  <si>
    <t>Glücksmaid</t>
  </si>
  <si>
    <t>Händlerin</t>
  </si>
  <si>
    <t>Hexe</t>
  </si>
  <si>
    <t>Kriegerin</t>
  </si>
  <si>
    <t>Magierin</t>
  </si>
  <si>
    <t>Ordenskriegerin</t>
  </si>
  <si>
    <t>Priesterin, Streiterin</t>
  </si>
  <si>
    <t>Priesterin, Beschützerin</t>
  </si>
  <si>
    <t>Schamanin</t>
  </si>
  <si>
    <t>Spitzmaid</t>
  </si>
  <si>
    <t>Waldläuferin</t>
  </si>
  <si>
    <t>Überleben</t>
  </si>
  <si>
    <t>32. Aussehen, Charakter und Hintergrundgeschichte aufschreiben</t>
  </si>
  <si>
    <t>29. Bevorzugtes Gelände für Überleben (ungelernt)</t>
  </si>
  <si>
    <t>Gebirge</t>
  </si>
  <si>
    <t>Steppe</t>
  </si>
  <si>
    <t>Wald</t>
  </si>
  <si>
    <t>Typ_Abkz</t>
  </si>
  <si>
    <t>ZauProzess</t>
  </si>
  <si>
    <t>EigBonus</t>
  </si>
  <si>
    <t>Lesen von Zauberschrift</t>
  </si>
  <si>
    <t>RasseListe</t>
  </si>
  <si>
    <t>Rasse_weiblich</t>
  </si>
  <si>
    <t>StandListe</t>
  </si>
  <si>
    <t>GeländeListe</t>
  </si>
  <si>
    <t>GeschlechtListe</t>
  </si>
  <si>
    <t>Kämpfer</t>
  </si>
  <si>
    <t>Zauberer</t>
  </si>
  <si>
    <t>ZauKämpfer</t>
  </si>
  <si>
    <t>TypKämZau</t>
  </si>
  <si>
    <t>AbwResiFW</t>
  </si>
  <si>
    <t>ZaubFW</t>
  </si>
  <si>
    <t>Gewichtsbelastung, gesamt</t>
  </si>
  <si>
    <t>Gewicht nur Rucksack</t>
  </si>
  <si>
    <t>Traglast nach Stärke</t>
  </si>
  <si>
    <t>Gifttoleranz</t>
  </si>
  <si>
    <t>Wundertat</t>
  </si>
  <si>
    <t>Kurzbeschreibung</t>
  </si>
  <si>
    <t>Fährtenduft</t>
  </si>
  <si>
    <t>Wert</t>
  </si>
  <si>
    <t>Himmlischer Beschützer</t>
  </si>
  <si>
    <t>Himmlischer Helfer</t>
  </si>
  <si>
    <t>Totemtier / Fylgie</t>
  </si>
  <si>
    <t>eigenes Blut</t>
  </si>
  <si>
    <t>eigener Speichel</t>
  </si>
  <si>
    <t>Waffe mit Elfenstahlklinge</t>
  </si>
  <si>
    <t>Zweige von Eiche, Esche und Weißdorn (2 GS), Stück Kaltes Eisen</t>
  </si>
  <si>
    <t>Klinge aus Alchimistenmetall</t>
  </si>
  <si>
    <t>geweihte Waffe</t>
  </si>
  <si>
    <t>Taubenschwungfeder (5 SS) und Wasser</t>
  </si>
  <si>
    <t>2 Greifenaugenhälften (100 GS)</t>
  </si>
  <si>
    <t>Waffe aus Holz</t>
  </si>
  <si>
    <t>Liebestrank aus Kräutern (10 GS) oder Haarlocke des Opfers</t>
  </si>
  <si>
    <t>Wächterwürfel</t>
  </si>
  <si>
    <t>Weißdornpfeife bzw. Schamanentrommel</t>
  </si>
  <si>
    <t>Wurfkeule aus Holz</t>
  </si>
  <si>
    <t>Silbernadel (10 GS) und Haar der Zielperson</t>
  </si>
  <si>
    <t>Zauberkiesel (10 GS)</t>
  </si>
  <si>
    <t>Oberschenkelknochen</t>
  </si>
  <si>
    <t>Kern des Großen Kürbis (100 GS)</t>
  </si>
  <si>
    <t>Lebensmittel, Kräuter, Pulver (20 GS)</t>
  </si>
  <si>
    <t>Waffe aus Alchimistenmetall</t>
  </si>
  <si>
    <t>Tiersprache Vögel</t>
  </si>
  <si>
    <t>Tiersprache Säugetiere</t>
  </si>
  <si>
    <t>großer Schild</t>
  </si>
  <si>
    <t>kleiner Schild</t>
  </si>
  <si>
    <t>St, neu</t>
  </si>
  <si>
    <t>KAW, neu</t>
  </si>
  <si>
    <t>Magische Stärke</t>
  </si>
  <si>
    <t>Mindestwert</t>
  </si>
  <si>
    <t>Gesamtwert</t>
  </si>
  <si>
    <t>Juwelen</t>
  </si>
  <si>
    <t>MagischeStärke</t>
  </si>
  <si>
    <t>SchB, neu</t>
  </si>
  <si>
    <t>APB, neu</t>
  </si>
  <si>
    <t>Faustkampf (ab +5)</t>
  </si>
  <si>
    <t>Faustkampf (ab +8)</t>
  </si>
  <si>
    <t>Faustkampf (ab +12)</t>
  </si>
  <si>
    <t>Faustkampf (ab +16)</t>
  </si>
  <si>
    <t>Ringen (ab +5)</t>
  </si>
  <si>
    <t>Ringen (ab +8)</t>
  </si>
  <si>
    <t>Ringen (ab +12)</t>
  </si>
  <si>
    <t>Ringen (ab +16)</t>
  </si>
  <si>
    <t>Waffengruppe, gelernt</t>
  </si>
  <si>
    <t>Schreiben: Comentang</t>
  </si>
  <si>
    <t>Persönliche Ausstrahlung</t>
  </si>
  <si>
    <t>Willenskraft</t>
  </si>
  <si>
    <t>7. Bewegungsweite (alle Rassen)</t>
  </si>
  <si>
    <r>
      <rPr>
        <b/>
        <sz val="10"/>
        <rFont val="Arial"/>
        <family val="2"/>
      </rPr>
      <t xml:space="preserve">6.a. LP (alle Rassen) </t>
    </r>
    <r>
      <rPr>
        <sz val="10"/>
        <rFont val="Arial"/>
        <family val="2"/>
      </rPr>
      <t>(1W3)</t>
    </r>
  </si>
  <si>
    <r>
      <t>Excel</t>
    </r>
    <r>
      <rPr>
        <b/>
        <sz val="10"/>
        <color theme="1"/>
        <rFont val="Arial"/>
        <family val="2"/>
      </rPr>
      <t>*</t>
    </r>
  </si>
  <si>
    <t>Elf (1,62m bis 1,81m)</t>
  </si>
  <si>
    <r>
      <t>13. Stand (Alle Klassen, alle Rassen)</t>
    </r>
    <r>
      <rPr>
        <sz val="10"/>
        <rFont val="Arial"/>
        <family val="2"/>
      </rPr>
      <t xml:space="preserve"> (W%)</t>
    </r>
  </si>
  <si>
    <r>
      <t>11. Besondere Fähigkeit (alle Rassen)</t>
    </r>
    <r>
      <rPr>
        <sz val="10"/>
        <rFont val="Arial"/>
        <family val="2"/>
      </rPr>
      <t xml:space="preserve"> (W%)</t>
    </r>
  </si>
  <si>
    <r>
      <t>18. Händigkeit (Alle Rassen)</t>
    </r>
    <r>
      <rPr>
        <sz val="10"/>
        <rFont val="Arial"/>
        <family val="2"/>
      </rPr>
      <t xml:space="preserve"> (1W20)</t>
    </r>
  </si>
  <si>
    <t>A. Fertigkeitswerte für Abwehr, Resistenz und Zaubern können steigen</t>
  </si>
  <si>
    <t>B. AP-Maximum steigt (1W3 Würfeln und Ergebnis bei 6.b. eintragen!)</t>
  </si>
  <si>
    <t>C. Es besteht die Chance, dass sich eine Eigenschaft um 1W3+1 erhöht (Würfeln!)</t>
  </si>
  <si>
    <t>D. Bei Erreichen von Grad 2, 4, 6, etc. steigt die Schicksalsgunst um 1 Punkt (SG)</t>
  </si>
  <si>
    <t>24./25. Lerneinheiten bei Spielbeginn (Alle Klassen)</t>
  </si>
  <si>
    <t>(Mensch, Elf 4W3; Zwerg 3W3; Gnom, Halbling 2W3)</t>
  </si>
  <si>
    <t>(Mensch 2W20; Elf, Halbling 2W6; Gnom, Zwerg 1W6)</t>
  </si>
  <si>
    <t>(Mensch, Elf, Zwerg 4W6; Gnom, Halbling 3W6)</t>
  </si>
  <si>
    <t>Tiersprache Amphibien / Reptilien</t>
  </si>
  <si>
    <r>
      <t>2W6</t>
    </r>
    <r>
      <rPr>
        <sz val="10"/>
        <color theme="0"/>
        <rFont val="Arial"/>
        <family val="2"/>
      </rPr>
      <t>+0</t>
    </r>
  </si>
  <si>
    <r>
      <t>1W6</t>
    </r>
    <r>
      <rPr>
        <sz val="10"/>
        <color theme="0"/>
        <rFont val="Arial"/>
        <family val="2"/>
      </rPr>
      <t>+0</t>
    </r>
  </si>
  <si>
    <r>
      <rPr>
        <b/>
        <sz val="10"/>
        <rFont val="Arial"/>
        <family val="2"/>
      </rPr>
      <t>6.a. LP</t>
    </r>
    <r>
      <rPr>
        <sz val="10"/>
        <rFont val="Arial"/>
        <family val="2"/>
      </rPr>
      <t xml:space="preserve"> (alle Rassen)</t>
    </r>
  </si>
  <si>
    <r>
      <rPr>
        <b/>
        <sz val="10"/>
        <rFont val="Arial"/>
        <family val="2"/>
      </rPr>
      <t>13. Stand</t>
    </r>
    <r>
      <rPr>
        <sz val="10"/>
        <rFont val="Arial"/>
        <family val="2"/>
      </rPr>
      <t xml:space="preserve"> (Alle Klassen, alle Rassen)</t>
    </r>
  </si>
  <si>
    <r>
      <t>18. Händigkeit</t>
    </r>
    <r>
      <rPr>
        <sz val="10"/>
        <rFont val="Arial"/>
        <family val="2"/>
      </rPr>
      <t xml:space="preserve"> (Alle Rassen)</t>
    </r>
  </si>
  <si>
    <t xml:space="preserve">   Midgard-Charakterbogen und Erschaffungshilfe</t>
  </si>
  <si>
    <r>
      <t xml:space="preserve">Sonstige automatische Berechnungen </t>
    </r>
    <r>
      <rPr>
        <sz val="8"/>
        <rFont val="Arial"/>
        <family val="2"/>
      </rPr>
      <t>(unvollständige Aufzählung)</t>
    </r>
  </si>
  <si>
    <t>Hose, Rock oder Kilt</t>
  </si>
  <si>
    <t>Hemd oder Bluse</t>
  </si>
  <si>
    <t>Sandalen, Schuhe oder Stiefel</t>
  </si>
  <si>
    <t>einfacher Waffengürtel</t>
  </si>
  <si>
    <t>Knielange Tunika und leichter Umhang oder Kutte, Robe, Kleid</t>
  </si>
  <si>
    <t>Alle Anderen: TR (20 GS) oder LR (30 GS) kaufen?</t>
  </si>
  <si>
    <t>As, Kr: 4</t>
  </si>
  <si>
    <t>Erste Hilfe: Salben, Kräuter , Verbände</t>
  </si>
  <si>
    <t>Fälschen: Hilfsmittel, Werkzeug</t>
  </si>
  <si>
    <t>Gaukeln: Bälle, Reifen, Keulen zum Jonglieren</t>
  </si>
  <si>
    <t>Glücksspiel: Geladene Würfel oder gezinkte Karten</t>
  </si>
  <si>
    <t>Musizieren: Ein Instrument nach Wahl (Barden: Instrument ist magisch)</t>
  </si>
  <si>
    <t>Schlösser öffnen: Satz Dietriche und Nachschlüssel</t>
  </si>
  <si>
    <t>Klingenmagier</t>
  </si>
  <si>
    <t>Tiermeister</t>
  </si>
  <si>
    <t>Tiermeisterin</t>
  </si>
  <si>
    <t>Klingenmagierin</t>
  </si>
  <si>
    <t>Km</t>
  </si>
  <si>
    <t>Tm</t>
  </si>
  <si>
    <t>Erfahrungsschatz &amp; Erfahrungspunkte</t>
  </si>
  <si>
    <t>Verwünschen oder Binden des Vertrauten</t>
  </si>
  <si>
    <t>Fertigkeit / Waffengruppe / Zauberspruch</t>
  </si>
  <si>
    <t>LE</t>
  </si>
  <si>
    <t>TE</t>
  </si>
  <si>
    <t>Summe EP</t>
  </si>
  <si>
    <t>Summe GS</t>
  </si>
  <si>
    <t>Belohnung GS</t>
  </si>
  <si>
    <t>ab ES</t>
  </si>
  <si>
    <t>jeweils mit einfacher Schwertscheide, etc.; bei Schusswaffen +30 Geschosse &amp; Köcher</t>
  </si>
  <si>
    <t>31. Ausrüstung auswählen</t>
  </si>
  <si>
    <t>Anzahl Waffen</t>
  </si>
  <si>
    <t>Kommentar beachten</t>
  </si>
  <si>
    <t>Kampfgabeln, beidhändig</t>
  </si>
  <si>
    <t>-2</t>
  </si>
  <si>
    <t>Krummsäbel</t>
  </si>
  <si>
    <t>Runenmeister</t>
  </si>
  <si>
    <t>Runenmeisterin</t>
  </si>
  <si>
    <t>Magister</t>
  </si>
  <si>
    <t>Schattengänger</t>
  </si>
  <si>
    <t>Schattengängerin</t>
  </si>
  <si>
    <t>Weise</t>
  </si>
  <si>
    <t>Weiser</t>
  </si>
  <si>
    <t>Heiler</t>
  </si>
  <si>
    <t>Heilerin</t>
  </si>
  <si>
    <t>Ermittler</t>
  </si>
  <si>
    <t>Ermittlerin</t>
  </si>
  <si>
    <t>Magistra</t>
  </si>
  <si>
    <t>Rm</t>
  </si>
  <si>
    <t>Mg</t>
  </si>
  <si>
    <t>Sg</t>
  </si>
  <si>
    <t>Hl</t>
  </si>
  <si>
    <t>Er</t>
  </si>
  <si>
    <t>Thaumaturg</t>
  </si>
  <si>
    <t>Thaumaturgin</t>
  </si>
  <si>
    <t>Th</t>
  </si>
  <si>
    <t>Bestienjäger</t>
  </si>
  <si>
    <t>Bestienjägerin</t>
  </si>
  <si>
    <t>Feldscher</t>
  </si>
  <si>
    <t>Feldscherin</t>
  </si>
  <si>
    <t>Schattenweber</t>
  </si>
  <si>
    <t>Waldhüter</t>
  </si>
  <si>
    <t>Waldhüterin</t>
  </si>
  <si>
    <t>Zauberkrämer</t>
  </si>
  <si>
    <t>Zauberkrämerin</t>
  </si>
  <si>
    <t>Mysterium</t>
  </si>
  <si>
    <t>Zaubersiegel</t>
  </si>
  <si>
    <t>Runenstäbe</t>
  </si>
  <si>
    <t>Zaubersalze</t>
  </si>
  <si>
    <t>Zauberrunen</t>
  </si>
  <si>
    <t>Schattenweberin</t>
  </si>
  <si>
    <t>Ws</t>
  </si>
  <si>
    <t>Bj</t>
  </si>
  <si>
    <t>Fe</t>
  </si>
  <si>
    <t>Sw</t>
  </si>
  <si>
    <t>Wh</t>
  </si>
  <si>
    <t>Zk</t>
  </si>
  <si>
    <t>Besänftigen oder Binden des Vertrauten</t>
  </si>
  <si>
    <t>Gassenwissen+8, Geschäftssinn+8 oder Verführen+8</t>
  </si>
  <si>
    <t>Fallenmechanik+8 und Schreiben+12 (Gnomenon)</t>
  </si>
  <si>
    <t>Bannen von Zauberwerk (s)</t>
  </si>
  <si>
    <t>Zaubersalze, Runenstäbe, Zaubersiegel</t>
  </si>
  <si>
    <t>Kampf in Vollrüstung+5 und Schreiben+12 (Eldalyn)</t>
  </si>
  <si>
    <t>beliebige Zaubersprüche</t>
  </si>
  <si>
    <t>Thaumatherapie</t>
  </si>
  <si>
    <t>Untersuchen und Erfrischungselixier</t>
  </si>
  <si>
    <t>Meucheln+8 oder Gassenwissen+8</t>
  </si>
  <si>
    <t>Menschenkenntnis+8</t>
  </si>
  <si>
    <t>Zaubersalze, Beherrschen, Erkennen</t>
  </si>
  <si>
    <t>Schlösser öffnen+8</t>
  </si>
  <si>
    <t>Zaubersalze, Bewegen, Formen</t>
  </si>
  <si>
    <t>Abrichten+8</t>
  </si>
  <si>
    <t>Klingenrune oder Schildrune</t>
  </si>
  <si>
    <t>Runenstäbe, Zaubersiegel, Zauberrunen</t>
  </si>
  <si>
    <t>Dr, Hl, Hx, Ma, PB, Th, Ws: 1</t>
  </si>
  <si>
    <t>Fe, Km, Kr, Or: Leder- oder Kettenrüstung (nach Wahl)</t>
  </si>
  <si>
    <t>Alter (Doppelklassen)</t>
  </si>
  <si>
    <t>Thaumagraphie</t>
  </si>
  <si>
    <t>Thaumalogie</t>
  </si>
  <si>
    <t>Abrichten + 0</t>
  </si>
  <si>
    <r>
      <t xml:space="preserve">20. Alter </t>
    </r>
    <r>
      <rPr>
        <sz val="10"/>
        <rFont val="Arial"/>
        <family val="2"/>
      </rPr>
      <t>(Doppelklassen 23+2W6; alle Anderen 17+1W6)</t>
    </r>
  </si>
  <si>
    <r>
      <t>20. Alter</t>
    </r>
    <r>
      <rPr>
        <sz val="10"/>
        <rFont val="Arial"/>
        <family val="2"/>
      </rPr>
      <t xml:space="preserve"> (Doppelklassen 2W6, alle Anderen 1W6)</t>
    </r>
  </si>
  <si>
    <t>Charaktererschaffung (KOD S.47/48)</t>
  </si>
  <si>
    <t>10. Raufen, Trinken, Wahrnehmung (KOD S.26)</t>
  </si>
  <si>
    <t>11. Besondere Fähigkeit auswürfeln (KOD S.27)</t>
  </si>
  <si>
    <t>14. Glaube auswählen (KOD S.29; MYS S.28)</t>
  </si>
  <si>
    <t>15. Schamane / Tiermeister: Totemtier auswählen (ARK S.51)</t>
  </si>
  <si>
    <t>16. Größe (16.a.) &amp; Gewicht (16.b.) auswürfeln (KOD S.33)</t>
  </si>
  <si>
    <t>17. Gestalt (KOD S.33)</t>
  </si>
  <si>
    <t>18. Händigkeit auswürfeln (KOD S.34) Gnome immer Beidhänder</t>
  </si>
  <si>
    <t>19. Name des Charakters festlegen (KOD S.34)</t>
  </si>
  <si>
    <t>20. Alter auswürfeln (KOD S.34; MYS S.139)</t>
  </si>
  <si>
    <t>22. Besondere Merkmale auswählen (KOD S.35)</t>
  </si>
  <si>
    <t>24. Auswahl der Fertigkeiten und Waffen (KOD S.40/41; MYS S.30)</t>
  </si>
  <si>
    <t>25. Auswahl der Zauber (KOD S.41/42; MYS S.31)</t>
  </si>
  <si>
    <t>26. Fertigkeiten von Nicht-Menschen (KOD S.37)</t>
  </si>
  <si>
    <t>13. Stand auswürfeln (KOD S.28; MYS S.28 / 138)</t>
  </si>
  <si>
    <t>27. Spezialwaffe (Kämpfer) / Spezialgebiet (Magier) auswählen (KOD S.37; MYS S.139)</t>
  </si>
  <si>
    <t>23. Abwehr, Resistenz, Zaubern, Mutter- und Gemeinsprache (KOD S.36; MYS S.138/139)</t>
  </si>
  <si>
    <t>28. Ungelernte Fertigkeiten (KOD S.44)</t>
  </si>
  <si>
    <t>29. Bevorzugtes Gelände für Überleben (ungelernt) auswählen (KOD S.44)</t>
  </si>
  <si>
    <t>30. Vorteile bei Fertigkeiten von Nicht-Menschen (KOD S.46)</t>
  </si>
  <si>
    <t>31. Ausrüstung auswählen bzw. kaufen; Startgeld 80 GS (KOD S.197; MYS S.28 / 139)</t>
  </si>
  <si>
    <t xml:space="preserve"> 9. Angriffs-, Abwehr, Zauber- und Resistenzbonus (KOD S.26; MYS S.138)</t>
  </si>
  <si>
    <t xml:space="preserve"> 1. Basiseigenschaften auswürfeln (KOD S.21)</t>
  </si>
  <si>
    <t xml:space="preserve"> 2. Rasse auswählen (KOD S.21)</t>
  </si>
  <si>
    <t xml:space="preserve"> 4. Geschlecht auswählen (KOD S.23)</t>
  </si>
  <si>
    <t xml:space="preserve"> 5. Abenteurer beginnt auf Grad 1</t>
  </si>
  <si>
    <t xml:space="preserve"> 7. Bewegungsweite auswürfeln (KOD S.25)</t>
  </si>
  <si>
    <t xml:space="preserve"> 8. Schadensbonus (KOD S.25)</t>
  </si>
  <si>
    <t xml:space="preserve"> 6. Lebens- (6.a.) und Ausdauerpunkte (6.b.) auswürfeln (KOD S.25; MYS S.138/139)</t>
  </si>
  <si>
    <t xml:space="preserve"> 3. Abenteurertyp auswählen (KOD S.23; MYS S.27 / 135)</t>
  </si>
  <si>
    <t>12. Heimatland auswählen (KOD S.28; MYS S.27 / 138)</t>
  </si>
  <si>
    <t>Duftschleier</t>
  </si>
  <si>
    <t>Ermutigen</t>
  </si>
  <si>
    <t>Fylgienblick</t>
  </si>
  <si>
    <t>Gefährtenruf</t>
  </si>
  <si>
    <t>Katzenaugen</t>
  </si>
  <si>
    <t>Kraftband</t>
  </si>
  <si>
    <t>Krallenhände</t>
  </si>
  <si>
    <t>2 Ws</t>
  </si>
  <si>
    <t>Tiersprache (Dweomer)</t>
  </si>
  <si>
    <t>Waffenweihe</t>
  </si>
  <si>
    <t>Wasserweihe</t>
  </si>
  <si>
    <t>Weihen</t>
  </si>
  <si>
    <t>Dämonenaustreibung</t>
  </si>
  <si>
    <t>Dämonenzeiger</t>
  </si>
  <si>
    <t>Elixier der Erinnerung</t>
  </si>
  <si>
    <t>Elixier des Geistes</t>
  </si>
  <si>
    <t>Elixier des Hörens</t>
  </si>
  <si>
    <t>Elixier des Körpers</t>
  </si>
  <si>
    <t>Elixier der Reflexe</t>
  </si>
  <si>
    <t>Elixier des Riechens</t>
  </si>
  <si>
    <t>Elixier des Sehens</t>
  </si>
  <si>
    <t>Elixier der Wärmesicht</t>
  </si>
  <si>
    <t>Erfrischungselixier</t>
  </si>
  <si>
    <t>Erholungselixier</t>
  </si>
  <si>
    <t>4 h</t>
  </si>
  <si>
    <t>Filtern</t>
  </si>
  <si>
    <t>1 Liter</t>
  </si>
  <si>
    <t>Gegengift</t>
  </si>
  <si>
    <t>Giftzeiger</t>
  </si>
  <si>
    <t>Glanz</t>
  </si>
  <si>
    <t>Kühnheitselixier</t>
  </si>
  <si>
    <t>Leichenschau</t>
  </si>
  <si>
    <t>Reinigungselixier</t>
  </si>
  <si>
    <t>Stabilisieren</t>
  </si>
  <si>
    <t>Stählen</t>
  </si>
  <si>
    <t>Stärkungselixier</t>
  </si>
  <si>
    <t>Totenstimme</t>
  </si>
  <si>
    <t>Untersuchen</t>
  </si>
  <si>
    <t>Verjüngungselixier</t>
  </si>
  <si>
    <t>mind. 9</t>
  </si>
  <si>
    <t>Wiederbelebung</t>
  </si>
  <si>
    <t>Willenszeiger</t>
  </si>
  <si>
    <t>Wunderheilung</t>
  </si>
  <si>
    <t>20 min</t>
  </si>
  <si>
    <t>Wundpflaster</t>
  </si>
  <si>
    <t>Zauberheilung</t>
  </si>
  <si>
    <t>Zauberzeiger</t>
  </si>
  <si>
    <t>Heilen von Krankheit (Thaumatherapie)</t>
  </si>
  <si>
    <t>Freundesauge (Dweomer)</t>
  </si>
  <si>
    <t>Bittersalz</t>
  </si>
  <si>
    <t>Zaubersalz</t>
  </si>
  <si>
    <t>Blendsalz</t>
  </si>
  <si>
    <t>Blicksalz</t>
  </si>
  <si>
    <t>Durstsalz</t>
  </si>
  <si>
    <t>Färbersalz</t>
  </si>
  <si>
    <t>Fliegensalz</t>
  </si>
  <si>
    <t>Funkensalz</t>
  </si>
  <si>
    <t>Haarsalz</t>
  </si>
  <si>
    <t>Hitzsalz</t>
  </si>
  <si>
    <t>Hungersalz</t>
  </si>
  <si>
    <t>Jucksalz</t>
  </si>
  <si>
    <t>Knallsalz</t>
  </si>
  <si>
    <t>Kühlsalz</t>
  </si>
  <si>
    <t>Lachsalz</t>
  </si>
  <si>
    <t>Löschsalz</t>
  </si>
  <si>
    <t>Niessalz</t>
  </si>
  <si>
    <t>Rauchsalz</t>
  </si>
  <si>
    <t>Rauschsalz</t>
  </si>
  <si>
    <t>Riechsalz</t>
  </si>
  <si>
    <t>Rutschsalz</t>
  </si>
  <si>
    <t>Schlafsalz</t>
  </si>
  <si>
    <t>Schleichsalz</t>
  </si>
  <si>
    <t>10 m²</t>
  </si>
  <si>
    <t>Stinksalz</t>
  </si>
  <si>
    <t>Stottersalz</t>
  </si>
  <si>
    <t>Taubsalz</t>
  </si>
  <si>
    <t>Trampelsalz</t>
  </si>
  <si>
    <t>Wandelsalz</t>
  </si>
  <si>
    <t>Wassersalz</t>
  </si>
  <si>
    <t>Wehsalz</t>
  </si>
  <si>
    <t>Zündersalz</t>
  </si>
  <si>
    <t xml:space="preserve">Erschaffen </t>
  </si>
  <si>
    <t>Auflösung ®</t>
  </si>
  <si>
    <t>Runenstab</t>
  </si>
  <si>
    <t>Blenden ®</t>
  </si>
  <si>
    <t>Blitze schleudern ®</t>
  </si>
  <si>
    <t>Dämonenblitz ®</t>
  </si>
  <si>
    <t>Dämonenschwert ®</t>
  </si>
  <si>
    <t>Donnerkeil ®</t>
  </si>
  <si>
    <t>Fesselbann ®</t>
  </si>
  <si>
    <t>2:Gr</t>
  </si>
  <si>
    <t>Feuerfinger ®</t>
  </si>
  <si>
    <t>Feuerkugel ®</t>
  </si>
  <si>
    <t>Feuerlanze ®</t>
  </si>
  <si>
    <t>Frostball ®</t>
  </si>
  <si>
    <t>Hauch des Winters ®</t>
  </si>
  <si>
    <t>Hörnerklang ®</t>
  </si>
  <si>
    <t>Klarlicht ®</t>
  </si>
  <si>
    <t>Schattenlicht ®</t>
  </si>
  <si>
    <t>Stille ®</t>
  </si>
  <si>
    <t>Sturmwind ®</t>
  </si>
  <si>
    <t>Vereisen ®</t>
  </si>
  <si>
    <t>Warnung ®</t>
  </si>
  <si>
    <t>Wasserstrahl ®</t>
  </si>
  <si>
    <t>Windstoß ®</t>
  </si>
  <si>
    <t>Zauberlicht ®</t>
  </si>
  <si>
    <t>Zauberschlüssel ®</t>
  </si>
  <si>
    <t>Anziehen (S)</t>
  </si>
  <si>
    <t>Stirn</t>
  </si>
  <si>
    <t>Auskühlen (S)</t>
  </si>
  <si>
    <t>Bannen von Zauberwerk (S)</t>
  </si>
  <si>
    <t>Oberfläche</t>
  </si>
  <si>
    <t>Beeindrucken (S)</t>
  </si>
  <si>
    <t>Befestigen (S)</t>
  </si>
  <si>
    <t>Beschleunigen (S)</t>
  </si>
  <si>
    <t>Arme und Beine</t>
  </si>
  <si>
    <t>Blaue Bannsphäre (S)</t>
  </si>
  <si>
    <t>Boden</t>
  </si>
  <si>
    <t>Deckmantel (S)</t>
  </si>
  <si>
    <t>Dinge verbergen (S)</t>
  </si>
  <si>
    <t>Dinge wiederfinden (S)</t>
  </si>
  <si>
    <t>unbegrenzt</t>
  </si>
  <si>
    <t>Eisenhaut (S)</t>
  </si>
  <si>
    <t>Brust und Rücken</t>
  </si>
  <si>
    <t>Erkennen von Leben (S)</t>
  </si>
  <si>
    <t>Erkennen von Zauberei (S)</t>
  </si>
  <si>
    <t>Feuerlauf (S)</t>
  </si>
  <si>
    <t>Arme oder Beine</t>
  </si>
  <si>
    <t>Feuerring (S)</t>
  </si>
  <si>
    <t>Feuerschild (S)</t>
  </si>
  <si>
    <t>Flammende Hand (S)</t>
  </si>
  <si>
    <t>Hand</t>
  </si>
  <si>
    <t>Flammenklinge (S)</t>
  </si>
  <si>
    <t>Klinge</t>
  </si>
  <si>
    <t>Flammenkreis (S)</t>
  </si>
  <si>
    <t>Brust</t>
  </si>
  <si>
    <t>Flugsiegel (S)</t>
  </si>
  <si>
    <t>Freundesauge (S)</t>
  </si>
  <si>
    <t>Geistersperre (S)</t>
  </si>
  <si>
    <t>Fläche</t>
  </si>
  <si>
    <t>Geistesschutz (S)</t>
  </si>
  <si>
    <t>Geräusche dämpfen (S)</t>
  </si>
  <si>
    <t>Goldener Panzer (S)</t>
  </si>
  <si>
    <t>Hauch der Betäubung (S)</t>
  </si>
  <si>
    <t>Hauch der Verwesung (S)</t>
  </si>
  <si>
    <t>Heranholen (S)</t>
  </si>
  <si>
    <t>Hitzeschutz (S)</t>
  </si>
  <si>
    <t>Kälteschutz (S)</t>
  </si>
  <si>
    <t>Kräftigen (S)</t>
  </si>
  <si>
    <t>Lauschen (S)</t>
  </si>
  <si>
    <t>Leibesschutz (S)</t>
  </si>
  <si>
    <t>Luftlauf (S)</t>
  </si>
  <si>
    <t>Fußsohlen</t>
  </si>
  <si>
    <t>Macht über das Selbst (S)</t>
  </si>
  <si>
    <t>Macht über die belebte Natur (S)</t>
  </si>
  <si>
    <t>Kopf, Brust und Gliedmaßen</t>
  </si>
  <si>
    <t>Macht über Menschen (S)</t>
  </si>
  <si>
    <t>Marmorhaut (S)</t>
  </si>
  <si>
    <t>Mitfühlen (S)</t>
  </si>
  <si>
    <t>Kopf</t>
  </si>
  <si>
    <t>Person wiederfinden (S)</t>
  </si>
  <si>
    <t>Rauchwolke (S)</t>
  </si>
  <si>
    <t>Reaktionsschnelle (S)</t>
  </si>
  <si>
    <t>Regenerieren (S)</t>
  </si>
  <si>
    <t>Rost (S)</t>
  </si>
  <si>
    <t>Schattenrobe (S)</t>
  </si>
  <si>
    <t>Stirn, Brust und Gliedmaßen</t>
  </si>
  <si>
    <t>Schatten verstärken (S)</t>
  </si>
  <si>
    <t>Schleiersiegel (S)</t>
  </si>
  <si>
    <t>Schrumpfen (S)</t>
  </si>
  <si>
    <t>Schwarze Sphäre (S)</t>
  </si>
  <si>
    <t>Schwarzer Schutzkreis (S)</t>
  </si>
  <si>
    <t>Schweben (S)</t>
  </si>
  <si>
    <t>Hände und Füße</t>
  </si>
  <si>
    <t>Schwerelosigkeit (S)</t>
  </si>
  <si>
    <t>Sehen in Dunkelheit (S)</t>
  </si>
  <si>
    <t>Augen</t>
  </si>
  <si>
    <t>Sehen von Verborgenem (S)</t>
  </si>
  <si>
    <t>Seidenauge (S)</t>
  </si>
  <si>
    <t>Stoffstück</t>
  </si>
  <si>
    <t>Silberne Bannsphäre (S)</t>
  </si>
  <si>
    <t>Silberstaub (S)</t>
  </si>
  <si>
    <t>Stärke (S)</t>
  </si>
  <si>
    <t>Arme</t>
  </si>
  <si>
    <t>Tierisches Handeln (S)</t>
  </si>
  <si>
    <t>Todeshauch (S)</t>
  </si>
  <si>
    <t>Torwandeln (S)</t>
  </si>
  <si>
    <t xml:space="preserve">1 min </t>
  </si>
  <si>
    <t>Tür</t>
  </si>
  <si>
    <t>Umkehrschild (S)</t>
  </si>
  <si>
    <t>Unsichtbarkeit (S)</t>
  </si>
  <si>
    <t>Körper, Besitz</t>
  </si>
  <si>
    <t>Vergrößern (S)</t>
  </si>
  <si>
    <t>Verkleinern (S)</t>
  </si>
  <si>
    <t>Vertieren (S)</t>
  </si>
  <si>
    <t>Verwandung (S)</t>
  </si>
  <si>
    <t>Wachsen (S)</t>
  </si>
  <si>
    <t>Wächtersiegel (S)</t>
  </si>
  <si>
    <t>Wandwandeln (S)</t>
  </si>
  <si>
    <t>Wasseratmen (S)</t>
  </si>
  <si>
    <t>Nase</t>
  </si>
  <si>
    <t>Wasserlauf (S)</t>
  </si>
  <si>
    <t>Wehrsiegel (S)</t>
  </si>
  <si>
    <t>Zauberschild (S)</t>
  </si>
  <si>
    <t>Zauberschloss (S)</t>
  </si>
  <si>
    <t>Zauberschmiede (S)</t>
  </si>
  <si>
    <t>Zauberstimme (S)</t>
  </si>
  <si>
    <t>Zielsuche (S)</t>
  </si>
  <si>
    <t>Geschoss</t>
  </si>
  <si>
    <t>Zwiesprache (S)</t>
  </si>
  <si>
    <t>5 m²</t>
  </si>
  <si>
    <t>Bannrune</t>
  </si>
  <si>
    <t>Zauberrune</t>
  </si>
  <si>
    <t>Bartrune</t>
  </si>
  <si>
    <t>Becherrune</t>
  </si>
  <si>
    <t>Berserkerrune</t>
  </si>
  <si>
    <t>Drachenrune</t>
  </si>
  <si>
    <t>Drosselrune</t>
  </si>
  <si>
    <t>Fesselrune</t>
  </si>
  <si>
    <t>Festrune</t>
  </si>
  <si>
    <t>Flammenrune</t>
  </si>
  <si>
    <t>Gamsrune</t>
  </si>
  <si>
    <t>Geberrune</t>
  </si>
  <si>
    <t>Geisterrune</t>
  </si>
  <si>
    <t>Geizrune</t>
  </si>
  <si>
    <t>Gesichtsrune</t>
  </si>
  <si>
    <t>Hagelrune</t>
  </si>
  <si>
    <t>7 Tage</t>
  </si>
  <si>
    <t>Heilsrune</t>
  </si>
  <si>
    <t>1 Tag</t>
  </si>
  <si>
    <t>Hufeisenrune</t>
  </si>
  <si>
    <t>Kälterune</t>
  </si>
  <si>
    <t>Klingenrune</t>
  </si>
  <si>
    <t>1W6 h</t>
  </si>
  <si>
    <t>Liebesrune</t>
  </si>
  <si>
    <t>Lösungsrune</t>
  </si>
  <si>
    <t>Pfeilrune</t>
  </si>
  <si>
    <t>Rederune</t>
  </si>
  <si>
    <t>Regenrune</t>
  </si>
  <si>
    <t>Reiserune</t>
  </si>
  <si>
    <t>Schildrune</t>
  </si>
  <si>
    <t>Schneiderune</t>
  </si>
  <si>
    <t>Schnellrune</t>
  </si>
  <si>
    <t>Schuhrune</t>
  </si>
  <si>
    <t>Schutzrune</t>
  </si>
  <si>
    <t>Stärkerune</t>
  </si>
  <si>
    <t>Tierrune</t>
  </si>
  <si>
    <t>Totenrune</t>
  </si>
  <si>
    <t>Traumrune</t>
  </si>
  <si>
    <t>Treuerune</t>
  </si>
  <si>
    <t>Ungeheuerrune</t>
  </si>
  <si>
    <t>Unheilsrune</t>
  </si>
  <si>
    <t>Wahrheitsrune</t>
  </si>
  <si>
    <t>Wehrrune</t>
  </si>
  <si>
    <t>Wetterrune</t>
  </si>
  <si>
    <t>Wogenrune</t>
  </si>
  <si>
    <t>Wundrune</t>
  </si>
  <si>
    <t>Zugrune</t>
  </si>
  <si>
    <t>3:Ws</t>
  </si>
  <si>
    <t>2-7 Ws</t>
  </si>
  <si>
    <t>Konservieren</t>
  </si>
  <si>
    <t>Erhaltung</t>
  </si>
  <si>
    <t>Versiegeln</t>
  </si>
  <si>
    <t>Fixieren</t>
  </si>
  <si>
    <t>Binden</t>
  </si>
  <si>
    <t>Das Lied des Erinnerns</t>
  </si>
  <si>
    <t>Harfe oder Laute, Stimme</t>
  </si>
  <si>
    <t>Das Lied der Feier</t>
  </si>
  <si>
    <t>Flöte, Harfe oder Laute</t>
  </si>
  <si>
    <t>Das Lied des Fesselns</t>
  </si>
  <si>
    <t>3 min</t>
  </si>
  <si>
    <t>Das Lied des Friedens</t>
  </si>
  <si>
    <t>Das Lied des Grauens</t>
  </si>
  <si>
    <t>200 m Kegel</t>
  </si>
  <si>
    <t>Flöte, Stimme</t>
  </si>
  <si>
    <t>Das Lied der Liebe</t>
  </si>
  <si>
    <t>Das Lied der Lockung</t>
  </si>
  <si>
    <t>Flöte</t>
  </si>
  <si>
    <t>Das Lied der Ruhe</t>
  </si>
  <si>
    <t>Das Lied des Spottes</t>
  </si>
  <si>
    <t>Das Lied der Tanzlust</t>
  </si>
  <si>
    <t>Das Lied der Tapferkeit</t>
  </si>
  <si>
    <t>Flöte, Harfe oder Laute, Stimme</t>
  </si>
  <si>
    <t>Das Lied der verborgenen Kraft</t>
  </si>
  <si>
    <t>Das Lied der Verführung</t>
  </si>
  <si>
    <t>Das Lied des Vergessens</t>
  </si>
  <si>
    <t>Das Lied der Verzweiflung</t>
  </si>
  <si>
    <t>Das Lied des Wagemuts</t>
  </si>
  <si>
    <t>Das Lied des Wahnsinns</t>
  </si>
  <si>
    <t>Das Lied des Zorns</t>
  </si>
  <si>
    <t>Das Lied der Zwietracht</t>
  </si>
  <si>
    <t>Das Loblied</t>
  </si>
  <si>
    <t>1-3 Tage</t>
  </si>
  <si>
    <t>Der betäubende Gesang</t>
  </si>
  <si>
    <t>Der einschläfernde Gesang</t>
  </si>
  <si>
    <t>Der frohlockende Gesang</t>
  </si>
  <si>
    <t>Der traurige Gesang</t>
  </si>
  <si>
    <t>Der verunsichernde Gesang</t>
  </si>
  <si>
    <t>Die anfeuernde Ballade</t>
  </si>
  <si>
    <t>Die stählende Ballade</t>
  </si>
  <si>
    <t>Die Hymne der Ordnung</t>
  </si>
  <si>
    <t>Die Klänge der Genesung</t>
  </si>
  <si>
    <t>Die Klänge der Linderung</t>
  </si>
  <si>
    <t>Die Klänge des Zusammenwachsens</t>
  </si>
  <si>
    <t>Die überzeugende Stimme</t>
  </si>
  <si>
    <t>Stimme</t>
  </si>
  <si>
    <t>Drachen</t>
  </si>
  <si>
    <t>Zauberlied</t>
  </si>
  <si>
    <t>alle Zauberlieder</t>
  </si>
  <si>
    <t>APB neue Typen</t>
  </si>
  <si>
    <t>Langbogen, angepasst St81</t>
  </si>
  <si>
    <t>Langbogen, angepasst St96</t>
  </si>
  <si>
    <t>Oberfläche (Leinenstoff mit Siegelkopie)</t>
  </si>
  <si>
    <t>Rücken (Pergament mit Siegelkopie)</t>
  </si>
  <si>
    <t>Versetzen (S)</t>
  </si>
  <si>
    <t>Fußsohlen (Phosphorkreide (200 GS))</t>
  </si>
  <si>
    <t>Stirn (Seidenstoff mit Siegelkopie)</t>
  </si>
  <si>
    <t>2 SS je Anwendung</t>
  </si>
  <si>
    <t>sofort; 6 Apfelbaumholzstücke (1 KS)</t>
  </si>
  <si>
    <t>beim Kämmen des Bartes; Eisenkamm (1 GS)</t>
  </si>
  <si>
    <t>sobald der Zauberer das nächste Mal aus dem Becher trinkt; Trinkgefäß (-)</t>
  </si>
  <si>
    <t>Kampfgelegenheit; Waffe mit Eichenholzschaft (-)</t>
  </si>
  <si>
    <t>Kampfgelegenheit; Drachenschuppe (10 GS)</t>
  </si>
  <si>
    <t>sobald jemand die Knochenreste verschluckt; Krähenknöchelchen (-)</t>
  </si>
  <si>
    <t>Gelegenheit; Espenholz und Wollfäden (5 SS)</t>
  </si>
  <si>
    <t>sofort; Eisennagel (2 KS)</t>
  </si>
  <si>
    <t>sobald benannte Person mit Feuer in Berührung kommt; Drachenschuppe (10 GS)</t>
  </si>
  <si>
    <t>sofort; Eibenholzstecken und Gamsbart (2 GS)</t>
  </si>
  <si>
    <t>beim Überreichen der Scheibe; Silberscheibe in Münzgröße (2 SS)</t>
  </si>
  <si>
    <t>sofort; Apfelbaumholzstab (5 SS)</t>
  </si>
  <si>
    <t>sofort; Pferdeschädel (5 GS)</t>
  </si>
  <si>
    <t>sofort; Eschenwurzelstück (1 GS)</t>
  </si>
  <si>
    <t>Gelegenheit; Wildschafknochen (5 SS)</t>
  </si>
  <si>
    <t>während der folgenden Nacht; Buchenholzstück (1 KS)</t>
  </si>
  <si>
    <t>Gelegenheit; Magnetstein (5 GS)</t>
  </si>
  <si>
    <t>Gelegenheit; Seehundknochen (3 SS) oder Kristallsplitter (3 SS)</t>
  </si>
  <si>
    <t>sofort; Klingenwaffe (-)</t>
  </si>
  <si>
    <t>in der nächsten Nacht; Birkenholzstück (1 KS)</t>
  </si>
  <si>
    <t>sofort; Espenholzstab (5 SS)</t>
  </si>
  <si>
    <t>Kampfgelegenheit; Eibenholzscheibe (5 SS)</t>
  </si>
  <si>
    <t>sobald jemand den Kieselstein in den Mund steckt; Kieselstein (-)</t>
  </si>
  <si>
    <t>zu einem beliebigen, festgesetzten Zeitpunkt vor dem nächsten Vollmond; Specksteinfigur (10 GS)</t>
  </si>
  <si>
    <t>Gelegenheit (genaue Reisedaten müssen festgelegt werden); Renntierknochen (5 SS)</t>
  </si>
  <si>
    <t>Kampfgelegenheit; Holzschild (-)</t>
  </si>
  <si>
    <t>Kampfgelegenheit; Eichenholzstück (2 KS)</t>
  </si>
  <si>
    <t>sofort; Schuhsohle oder Huf (-)</t>
  </si>
  <si>
    <t>Gelegenheit; Goldstaub (5 GS)</t>
  </si>
  <si>
    <t>sofort; 6 Fichtenholzstücke (1 KS)</t>
  </si>
  <si>
    <t>Gelegenheit; Ochsenhornscheibe (8 SS)</t>
  </si>
  <si>
    <t>sofort; Knochenstück (1 GS)</t>
  </si>
  <si>
    <t>sofort; Eibenholzstab (5 SS)</t>
  </si>
  <si>
    <t>Nach 1W6 Tagen; Eschenholzstück (1 KS)</t>
  </si>
  <si>
    <t>sofort; Goldreif (100 GS)</t>
  </si>
  <si>
    <t>sofort; Stab aus Kaltem Eisen (50 GS)</t>
  </si>
  <si>
    <t>in den folgenden Nächetn; Buchenholzstück (1 KS)</t>
  </si>
  <si>
    <t>Material, Auftragort, Instrument, Wirkzeit</t>
  </si>
  <si>
    <t>sofort; Goldring (30 GS)</t>
  </si>
  <si>
    <t>sofort; Eschenholzstab (5 SS)</t>
  </si>
  <si>
    <t>zu einem beliebigen festgesetzten Zeitpunkt vor dem nächsten Vollmond; Specksteinfigur (10 GS)</t>
  </si>
  <si>
    <t>sofort; Schiff oder Boot (-)</t>
  </si>
  <si>
    <t>sofort; Kieselstein und Stechpalmenblätter (5 KS)</t>
  </si>
  <si>
    <t>Gelegenheit; Rad oder Kufe (-)</t>
  </si>
  <si>
    <t>Seelenheilung (Thaumatherapie)</t>
  </si>
  <si>
    <t>Phönixei (5.000 GS)</t>
  </si>
  <si>
    <t>Scharfschießen+5 und Schreiben+12 (Ogam-Zeichen)</t>
  </si>
  <si>
    <t>Hexenjäger</t>
  </si>
  <si>
    <t>Hexenjägerin</t>
  </si>
  <si>
    <t>Hj</t>
  </si>
  <si>
    <t>Inquisitor</t>
  </si>
  <si>
    <t>Inquisitorin</t>
  </si>
  <si>
    <t>Iq</t>
  </si>
  <si>
    <t>Bb, Bj, Er, Fe, Gl, Hj, Km, Or, Wa, Wh: 3</t>
  </si>
  <si>
    <t>Ba, Hä, Iq, Mg, PS, Rm, Sc, Sg, Sp, Sw, Tm, Zk: 2</t>
  </si>
  <si>
    <t>Beherrschen, Erkennen</t>
  </si>
  <si>
    <t>Menschenkenntnis+8 oder Verhören+8</t>
  </si>
  <si>
    <t>Bannen von Finsterwerk oder Erkennen der Aura</t>
  </si>
  <si>
    <t>Automat schaffen</t>
  </si>
  <si>
    <t>Berührung</t>
  </si>
  <si>
    <t>Heimstein</t>
  </si>
  <si>
    <t>Pforte</t>
  </si>
  <si>
    <t>Tor</t>
  </si>
  <si>
    <t>Wassertor</t>
  </si>
  <si>
    <t>500 km</t>
  </si>
  <si>
    <t>Weltentor</t>
  </si>
  <si>
    <t>Die Bierrune</t>
  </si>
  <si>
    <t>1 Eichenholzfass</t>
  </si>
  <si>
    <t>Fass (-)</t>
  </si>
  <si>
    <t>Die Friedensrune</t>
  </si>
  <si>
    <t>Die Hortrune</t>
  </si>
  <si>
    <t>Drachenschuppe (10 GS)</t>
  </si>
  <si>
    <t>Die Trollrune</t>
  </si>
  <si>
    <t>10 km</t>
  </si>
  <si>
    <t>Todesstarre</t>
  </si>
  <si>
    <t>Automat schaffen (S)</t>
  </si>
  <si>
    <t>Heimstein (S)</t>
  </si>
  <si>
    <t>Pforte (S)</t>
  </si>
  <si>
    <t>Tor (S)</t>
  </si>
  <si>
    <t>Wassertor (S)</t>
  </si>
  <si>
    <t>Weltentor (S)</t>
  </si>
  <si>
    <t>2 × 1 m UK</t>
  </si>
  <si>
    <t>2.000 l  Wasser</t>
  </si>
  <si>
    <t>2+ Wesen</t>
  </si>
  <si>
    <t>1 Jahr + 1 Tag</t>
  </si>
  <si>
    <t>mind.9</t>
  </si>
  <si>
    <t>mind.8</t>
  </si>
  <si>
    <t>Persönlicher Gegenstand</t>
  </si>
  <si>
    <t>Goldreif (100 GS)</t>
  </si>
  <si>
    <t>Zauber aus Ergänzung</t>
  </si>
  <si>
    <t>Mysterium EG</t>
  </si>
  <si>
    <t>Bannen des Todes</t>
  </si>
  <si>
    <t>alle (mind. 9)</t>
  </si>
  <si>
    <t>Dämonische Eingebung</t>
  </si>
  <si>
    <t>Eismeisterschaft</t>
  </si>
  <si>
    <t>geschnitzter, in Silber gefasster Eisbärzahn (100 GS)</t>
  </si>
  <si>
    <t>Erdmeisterschaft</t>
  </si>
  <si>
    <t>Maulwurffell (2 GS)</t>
  </si>
  <si>
    <t>Hexenritt</t>
  </si>
  <si>
    <t>Zaumzeug aus passenden Knochen und Leder (100 GS)</t>
  </si>
  <si>
    <t>Kuss der Verpflichtung</t>
  </si>
  <si>
    <t>Macht über die Zeit</t>
  </si>
  <si>
    <t>Modeln</t>
  </si>
  <si>
    <t>Regenzauber</t>
  </si>
  <si>
    <t>Pulvermischung (500 GS)</t>
  </si>
  <si>
    <t>Reise zu den Sphären</t>
  </si>
  <si>
    <t>Silberblick</t>
  </si>
  <si>
    <t>Finger oder Ohr eines Hexers (500 GS)</t>
  </si>
  <si>
    <t>Sturmflut</t>
  </si>
  <si>
    <t>2 km Kegel</t>
  </si>
  <si>
    <t>Peitsche mit Fischlederschnur (20 GS)</t>
  </si>
  <si>
    <t>1h</t>
  </si>
  <si>
    <t>Ungeheuer rufen</t>
  </si>
  <si>
    <t>Verfaulen</t>
  </si>
  <si>
    <t>Verjüngen</t>
  </si>
  <si>
    <t>Fettkreide (200 GS)</t>
  </si>
  <si>
    <t>Wetterzauber</t>
  </si>
  <si>
    <t>Austreibung des Guten</t>
  </si>
  <si>
    <t>Bannen von Götterwerk</t>
  </si>
  <si>
    <t>Blutsbrüderschaft stiften</t>
  </si>
  <si>
    <t>Geisterlauf</t>
  </si>
  <si>
    <t>Göttliche Strafe</t>
  </si>
  <si>
    <t>Golem schaffen</t>
  </si>
  <si>
    <t>Leuchtspur</t>
  </si>
  <si>
    <t>Phosphor und konservierte Glühwürmchen (100 GS)</t>
  </si>
  <si>
    <t>Rauchbild</t>
  </si>
  <si>
    <t>Verbotenes Wort</t>
  </si>
  <si>
    <t>Verpflichtung</t>
  </si>
  <si>
    <t>Weihestein</t>
  </si>
  <si>
    <t>Wiederkehr</t>
  </si>
  <si>
    <t>Baumkämpfer</t>
  </si>
  <si>
    <t>Baumwächter</t>
  </si>
  <si>
    <t>1 km</t>
  </si>
  <si>
    <t>Druidentor</t>
  </si>
  <si>
    <t>Feenstreich</t>
  </si>
  <si>
    <t>Geas</t>
  </si>
  <si>
    <t>Hort der Natur</t>
  </si>
  <si>
    <t>Kunterbuntfische</t>
  </si>
  <si>
    <t>7 Fischschuppen (2 SS)</t>
  </si>
  <si>
    <t>Pflanzenmann</t>
  </si>
  <si>
    <t>Rascheln wie der Wind</t>
  </si>
  <si>
    <t>3 trockene Herbstblätter</t>
  </si>
  <si>
    <t>Seelenfreundschaft stiften</t>
  </si>
  <si>
    <t>Seelenrückkehr</t>
  </si>
  <si>
    <t>Zeitlosigkeit</t>
  </si>
  <si>
    <t>Der große Seiltrick</t>
  </si>
  <si>
    <t>Der kleine Seiltrick</t>
  </si>
  <si>
    <t>4:Grad</t>
  </si>
  <si>
    <t>variabler UK</t>
  </si>
  <si>
    <t>var UK</t>
  </si>
  <si>
    <t>1 Ws / Ob</t>
  </si>
  <si>
    <t>bis 7 Ws</t>
  </si>
  <si>
    <t>200 m UK</t>
  </si>
  <si>
    <t>6:500 m R</t>
  </si>
  <si>
    <t>9:Stufe</t>
  </si>
  <si>
    <t>Metallstatue (10.000 GS)</t>
  </si>
  <si>
    <t>Mensch, frisches Katzenherz</t>
  </si>
  <si>
    <t>Urgesteinsbrocken, Edelmetalle (500 GS)</t>
  </si>
  <si>
    <t>zwei Hexagone (200 GS)</t>
  </si>
  <si>
    <t>Polygon (200 GS)</t>
  </si>
  <si>
    <t>zwei Polygone (400 GS)</t>
  </si>
  <si>
    <t>Gewänder, Totem- oder Ahnensymbole</t>
  </si>
  <si>
    <t>Statue (1.000 GS)</t>
  </si>
  <si>
    <t>bearbeitete Steine</t>
  </si>
  <si>
    <t>2 Steinkreise, Labyrinthe oder Hügelgräber druidischen Ursprungs</t>
  </si>
  <si>
    <t>Arkanum EG</t>
  </si>
  <si>
    <t>Musizieren+12 &amp; Landeskunde+8 (Heimat)</t>
  </si>
  <si>
    <t>Kampf in Vollrüstung+5 oder Heilkunde+8, zusätzlich Schreiben+12 (Muttersprache)</t>
  </si>
  <si>
    <t>Heilkunde+8 &amp; Schreiben+12 (Muttersprache)</t>
  </si>
  <si>
    <t>Menschenkenntnis+8 oder Verhören+8, zusätzlich Schreiben+12 (Muttersprache)</t>
  </si>
  <si>
    <t>Zauberkunde+8 &amp; Schreiben+12 (Muttersprache)</t>
  </si>
  <si>
    <t>Menschenkenntnis+8 &amp; Schreiben+12 (Muttersprache)</t>
  </si>
  <si>
    <t>Erste Hilfe+8 &amp; Schreiben+12 (Muttersprache)</t>
  </si>
  <si>
    <t>Schreiben+12 (Muttersprache) &amp; Zauberkunde+8</t>
  </si>
  <si>
    <t>Heilkunde+8 oder Meditieren+8, zusätzlich Schreiben+12 (Muttersprache)</t>
  </si>
  <si>
    <t>Reise in die Zeit</t>
  </si>
  <si>
    <t>Regenbogenpulver (100 GS) + Wollgras &amp; Rauschmittel (5 GS)</t>
  </si>
  <si>
    <t>Urgesteinsbrocken oder Reliquie (100 GS)</t>
  </si>
  <si>
    <t>V5.1</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</si>
</sst>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00\m"/>
    <numFmt numFmtId="165" formatCode="0&quot;kg&quot;"/>
    <numFmt numFmtId="166" formatCode="0&quot; Jahre&quot;"/>
    <numFmt numFmtId="167" formatCode="\+0"/>
    <numFmt numFmtId="168" formatCode="dd/mm/yy;@"/>
    <numFmt numFmtId="169" formatCode="0.00&quot;kg&quot;"/>
    <numFmt numFmtId="170" formatCode="&quot;+ &quot;0"/>
    <numFmt numFmtId="171" formatCode="0_ ;[Red]\-0\ "/>
    <numFmt numFmtId="172" formatCode="&quot;+&quot;0"/>
    <numFmt numFmtId="173" formatCode="0\ &quot;Jahre&quot;"/>
    <numFmt numFmtId="174" formatCode="#,##0\ &quot;GS&quot;"/>
    <numFmt numFmtId="175" formatCode="0\ &quot;kg&quot;"/>
    <numFmt numFmtId="176" formatCode="_-* #,##0.00\ [$€]_-;\-* #,##0.00\ [$€]_-;_-* \-??\ [$€]_-;_-@_-"/>
    <numFmt numFmtId="177" formatCode="0\ &quot;%&quot;"/>
  </numFmts>
  <fonts count="32" x14ac:knownFonts="1">
    <font>
      <sz val="10"/>
      <name val="Arial"/>
      <family val="2"/>
    </font>
    <font>
      <sz val="11"/>
      <color theme="1"/>
      <name val="Calibri"/>
      <family val="2"/>
      <scheme val="minor"/>
    </font>
    <font>
      <sz val="12"/>
      <name val="Times New Roman"/>
      <family val="1"/>
    </font>
    <font>
      <b/>
      <sz val="12"/>
      <name val="Times New Roman"/>
      <family val="1"/>
    </font>
    <font>
      <sz val="10"/>
      <name val="Times New Roman"/>
      <family val="1"/>
    </font>
    <font>
      <b/>
      <sz val="10"/>
      <name val="Times New Roman"/>
      <family val="1"/>
    </font>
    <font>
      <sz val="10"/>
      <color indexed="8"/>
      <name val="Tahoma"/>
      <family val="2"/>
    </font>
    <font>
      <b/>
      <i/>
      <sz val="12"/>
      <name val="Times New Roman"/>
      <family val="1"/>
    </font>
    <font>
      <sz val="8"/>
      <name val="Times New Roman"/>
      <family val="1"/>
    </font>
    <font>
      <sz val="10"/>
      <color indexed="10"/>
      <name val="Times New Roman"/>
      <family val="1"/>
    </font>
    <font>
      <i/>
      <sz val="10"/>
      <name val="Times New Roman"/>
      <family val="1"/>
    </font>
    <font>
      <sz val="11"/>
      <name val="Times New Roman"/>
      <family val="1"/>
    </font>
    <font>
      <b/>
      <sz val="11"/>
      <name val="Times New Roman"/>
      <family val="1"/>
    </font>
    <font>
      <b/>
      <sz val="10"/>
      <name val="Arial"/>
      <family val="2"/>
    </font>
    <font>
      <sz val="9"/>
      <name val="Times New Roman"/>
      <family val="1"/>
    </font>
    <font>
      <b/>
      <sz val="10"/>
      <color theme="1"/>
      <name val="Arial"/>
      <family val="2"/>
    </font>
    <font>
      <sz val="10"/>
      <color theme="1"/>
      <name val="Arial"/>
      <family val="2"/>
    </font>
    <font>
      <sz val="10"/>
      <color theme="0"/>
      <name val="Arial"/>
      <family val="2"/>
    </font>
    <font>
      <b/>
      <sz val="10"/>
      <color theme="0"/>
      <name val="Arial"/>
      <family val="2"/>
    </font>
    <font>
      <sz val="10"/>
      <name val="Arial"/>
      <family val="2"/>
    </font>
    <font>
      <b/>
      <sz val="11"/>
      <color indexed="8"/>
      <name val="Calibri"/>
      <family val="2"/>
    </font>
    <font>
      <b/>
      <sz val="18"/>
      <color indexed="56"/>
      <name val="Cambria"/>
      <family val="2"/>
    </font>
    <font>
      <b/>
      <i/>
      <sz val="10"/>
      <name val="Times New Roman"/>
      <family val="1"/>
    </font>
    <font>
      <b/>
      <sz val="8"/>
      <name val="Arial"/>
      <family val="2"/>
    </font>
    <font>
      <sz val="10"/>
      <color rgb="FFFF0000"/>
      <name val="Arial"/>
      <family val="2"/>
    </font>
    <font>
      <b/>
      <sz val="12"/>
      <name val="Arial"/>
      <family val="2"/>
    </font>
    <font>
      <sz val="8"/>
      <name val="Arial"/>
      <family val="2"/>
    </font>
    <font>
      <sz val="9"/>
      <color indexed="81"/>
      <name val="Times New Roman"/>
      <family val="1"/>
    </font>
    <font>
      <b/>
      <sz val="9"/>
      <color indexed="81"/>
      <name val="Times New Roman"/>
      <family val="1"/>
    </font>
    <font>
      <sz val="8"/>
      <color indexed="81"/>
      <name val="Tahoma"/>
      <family val="2"/>
    </font>
    <font>
      <b/>
      <sz val="8"/>
      <color indexed="81"/>
      <name val="Tahoma"/>
      <family val="2"/>
    </font>
    <font>
      <b/>
      <sz val="10"/>
      <color rgb="FFFF0000"/>
      <name val="Arial"/>
      <family val="2"/>
    </font>
  </fonts>
  <fills count="29">
    <fill>
      <patternFill patternType="none"/>
    </fill>
    <fill>
      <patternFill patternType="gray125"/>
    </fill>
    <fill>
      <patternFill patternType="solid">
        <fgColor rgb="FF92D050"/>
        <bgColor indexed="64"/>
      </patternFill>
    </fill>
    <fill>
      <patternFill patternType="solid">
        <fgColor rgb="FF92D050"/>
        <bgColor indexed="51"/>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rgb="FFFF7C80"/>
        <bgColor indexed="64"/>
      </patternFill>
    </fill>
    <fill>
      <patternFill patternType="solid">
        <fgColor rgb="FFFFFF00"/>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FF2F2F"/>
        <bgColor indexed="64"/>
      </patternFill>
    </fill>
    <fill>
      <patternFill patternType="solid">
        <fgColor rgb="FF7030A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7D9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421">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right style="medium">
        <color indexed="8"/>
      </right>
      <top/>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thin">
        <color indexed="8"/>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style="thin">
        <color indexed="8"/>
      </left>
      <right/>
      <top style="medium">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thin">
        <color indexed="8"/>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thick">
        <color indexed="8"/>
      </left>
      <right style="thin">
        <color indexed="8"/>
      </right>
      <top style="thick">
        <color indexed="8"/>
      </top>
      <bottom style="thin">
        <color indexed="8"/>
      </bottom>
      <diagonal/>
    </border>
    <border>
      <left style="thin">
        <color indexed="8"/>
      </left>
      <right style="thin">
        <color indexed="8"/>
      </right>
      <top style="thick">
        <color indexed="8"/>
      </top>
      <bottom style="thick">
        <color indexed="8"/>
      </bottom>
      <diagonal/>
    </border>
    <border>
      <left style="thin">
        <color indexed="8"/>
      </left>
      <right style="thin">
        <color indexed="8"/>
      </right>
      <top style="thick">
        <color indexed="8"/>
      </top>
      <bottom style="thin">
        <color indexed="8"/>
      </bottom>
      <diagonal/>
    </border>
    <border>
      <left style="thick">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medium">
        <color indexed="8"/>
      </left>
      <right/>
      <top/>
      <bottom/>
      <diagonal/>
    </border>
    <border>
      <left style="medium">
        <color indexed="8"/>
      </left>
      <right style="medium">
        <color indexed="8"/>
      </right>
      <top style="medium">
        <color indexed="8"/>
      </top>
      <bottom style="thin">
        <color indexed="8"/>
      </bottom>
      <diagonal/>
    </border>
    <border>
      <left style="medium">
        <color indexed="8"/>
      </left>
      <right/>
      <top/>
      <bottom style="medium">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8"/>
      </left>
      <right/>
      <top style="medium">
        <color indexed="8"/>
      </top>
      <bottom/>
      <diagonal/>
    </border>
    <border>
      <left style="thin">
        <color indexed="64"/>
      </left>
      <right/>
      <top style="thin">
        <color indexed="8"/>
      </top>
      <bottom style="thin">
        <color indexed="8"/>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ck">
        <color indexed="8"/>
      </left>
      <right style="thin">
        <color indexed="8"/>
      </right>
      <top style="thin">
        <color indexed="8"/>
      </top>
      <bottom style="thick">
        <color indexed="8"/>
      </bottom>
      <diagonal/>
    </border>
    <border>
      <left style="thin">
        <color indexed="8"/>
      </left>
      <right/>
      <top style="thick">
        <color indexed="8"/>
      </top>
      <bottom/>
      <diagonal/>
    </border>
    <border>
      <left/>
      <right/>
      <top style="thick">
        <color indexed="8"/>
      </top>
      <bottom/>
      <diagonal/>
    </border>
    <border>
      <left style="thin">
        <color indexed="8"/>
      </left>
      <right/>
      <top/>
      <bottom style="thick">
        <color indexed="8"/>
      </bottom>
      <diagonal/>
    </border>
    <border>
      <left/>
      <right/>
      <top/>
      <bottom style="thick">
        <color indexed="8"/>
      </bottom>
      <diagonal/>
    </border>
    <border>
      <left/>
      <right style="thick">
        <color indexed="8"/>
      </right>
      <top style="thick">
        <color indexed="8"/>
      </top>
      <bottom/>
      <diagonal/>
    </border>
    <border>
      <left/>
      <right style="thick">
        <color indexed="8"/>
      </right>
      <top/>
      <bottom style="thick">
        <color indexed="8"/>
      </bottom>
      <diagonal/>
    </border>
    <border>
      <left/>
      <right/>
      <top style="thin">
        <color indexed="8"/>
      </top>
      <bottom style="medium">
        <color indexed="8"/>
      </bottom>
      <diagonal/>
    </border>
    <border>
      <left/>
      <right style="thick">
        <color indexed="8"/>
      </right>
      <top/>
      <bottom style="thin">
        <color indexed="8"/>
      </bottom>
      <diagonal/>
    </border>
    <border>
      <left/>
      <right/>
      <top style="thin">
        <color indexed="64"/>
      </top>
      <bottom style="thin">
        <color indexed="64"/>
      </bottom>
      <diagonal/>
    </border>
    <border>
      <left style="thin">
        <color indexed="8"/>
      </left>
      <right style="thin">
        <color indexed="8"/>
      </right>
      <top style="thin">
        <color indexed="8"/>
      </top>
      <bottom style="thick">
        <color indexed="8"/>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8"/>
      </right>
      <top/>
      <bottom style="thin">
        <color indexed="8"/>
      </bottom>
      <diagonal/>
    </border>
    <border>
      <left/>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ck">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auto="1"/>
      </top>
      <bottom style="thin">
        <color auto="1"/>
      </bottom>
      <diagonal/>
    </border>
    <border>
      <left/>
      <right style="thick">
        <color indexed="64"/>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auto="1"/>
      </left>
      <right style="medium">
        <color auto="1"/>
      </right>
      <top style="thin">
        <color auto="1"/>
      </top>
      <bottom style="thin">
        <color auto="1"/>
      </bottom>
      <diagonal/>
    </border>
    <border>
      <left style="thick">
        <color auto="1"/>
      </left>
      <right style="medium">
        <color auto="1"/>
      </right>
      <top style="thick">
        <color auto="1"/>
      </top>
      <bottom style="thin">
        <color auto="1"/>
      </bottom>
      <diagonal/>
    </border>
    <border>
      <left style="medium">
        <color auto="1"/>
      </left>
      <right style="medium">
        <color auto="1"/>
      </right>
      <top style="thick">
        <color auto="1"/>
      </top>
      <bottom style="thin">
        <color auto="1"/>
      </bottom>
      <diagonal/>
    </border>
    <border>
      <left style="medium">
        <color auto="1"/>
      </left>
      <right style="thick">
        <color auto="1"/>
      </right>
      <top style="thick">
        <color auto="1"/>
      </top>
      <bottom style="thin">
        <color auto="1"/>
      </bottom>
      <diagonal/>
    </border>
    <border>
      <left style="thick">
        <color auto="1"/>
      </left>
      <right style="medium">
        <color auto="1"/>
      </right>
      <top style="thin">
        <color auto="1"/>
      </top>
      <bottom style="thin">
        <color auto="1"/>
      </bottom>
      <diagonal/>
    </border>
    <border>
      <left style="medium">
        <color auto="1"/>
      </left>
      <right style="thick">
        <color auto="1"/>
      </right>
      <top style="thin">
        <color auto="1"/>
      </top>
      <bottom style="thin">
        <color auto="1"/>
      </bottom>
      <diagonal/>
    </border>
    <border>
      <left style="thick">
        <color auto="1"/>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ck">
        <color auto="1"/>
      </right>
      <top style="thin">
        <color auto="1"/>
      </top>
      <bottom style="thick">
        <color auto="1"/>
      </bottom>
      <diagonal/>
    </border>
    <border>
      <left style="thick">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8"/>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medium">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ck">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ck">
        <color indexed="8"/>
      </top>
      <bottom style="thin">
        <color indexed="8"/>
      </bottom>
      <diagonal/>
    </border>
    <border>
      <left/>
      <right/>
      <top style="thick">
        <color indexed="8"/>
      </top>
      <bottom style="thin">
        <color indexed="8"/>
      </bottom>
      <diagonal/>
    </border>
    <border>
      <left/>
      <right style="thin">
        <color indexed="8"/>
      </right>
      <top style="thick">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8"/>
      </left>
      <right style="thin">
        <color indexed="8"/>
      </right>
      <top style="thin">
        <color indexed="8"/>
      </top>
      <bottom style="medium">
        <color indexed="8"/>
      </bottom>
      <diagonal/>
    </border>
    <border>
      <left style="thick">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ck">
        <color indexed="8"/>
      </right>
      <top style="thin">
        <color indexed="8"/>
      </top>
      <bottom/>
      <diagonal/>
    </border>
    <border>
      <left style="thick">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8"/>
      </left>
      <right style="medium">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8"/>
      </left>
      <right/>
      <top style="thin">
        <color indexed="64"/>
      </top>
      <bottom style="medium">
        <color indexed="8"/>
      </bottom>
      <diagonal/>
    </border>
    <border>
      <left/>
      <right/>
      <top style="thin">
        <color indexed="64"/>
      </top>
      <bottom style="medium">
        <color indexed="8"/>
      </bottom>
      <diagonal/>
    </border>
    <border>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top style="medium">
        <color auto="1"/>
      </top>
      <bottom style="medium">
        <color auto="1"/>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auto="1"/>
      </left>
      <right style="thin">
        <color auto="1"/>
      </right>
      <top style="medium">
        <color indexed="64"/>
      </top>
      <bottom style="thin">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right/>
      <top style="thin">
        <color indexed="8"/>
      </top>
      <bottom style="medium">
        <color indexed="8"/>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8"/>
      </top>
      <bottom/>
      <diagonal/>
    </border>
    <border>
      <left/>
      <right style="thick">
        <color indexed="8"/>
      </right>
      <top style="medium">
        <color indexed="8"/>
      </top>
      <bottom/>
      <diagonal/>
    </border>
    <border>
      <left style="thick">
        <color indexed="8"/>
      </left>
      <right style="thin">
        <color indexed="8"/>
      </right>
      <top style="thin">
        <color indexed="8"/>
      </top>
      <bottom style="thin">
        <color indexed="8"/>
      </bottom>
      <diagonal/>
    </border>
    <border>
      <left style="thick">
        <color indexed="8"/>
      </left>
      <right/>
      <top style="thin">
        <color indexed="8"/>
      </top>
      <bottom style="medium">
        <color indexed="8"/>
      </bottom>
      <diagonal/>
    </border>
    <border>
      <left style="thin">
        <color indexed="8"/>
      </left>
      <right style="thick">
        <color indexed="8"/>
      </right>
      <top style="thin">
        <color indexed="8"/>
      </top>
      <bottom style="medium">
        <color indexed="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top style="medium">
        <color indexed="8"/>
      </top>
      <bottom/>
      <diagonal/>
    </border>
    <border>
      <left/>
      <right style="thin">
        <color indexed="64"/>
      </right>
      <top style="medium">
        <color indexed="8"/>
      </top>
      <bottom/>
      <diagonal/>
    </border>
    <border>
      <left style="thin">
        <color indexed="64"/>
      </left>
      <right/>
      <top style="medium">
        <color indexed="8"/>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64"/>
      </right>
      <top style="medium">
        <color indexed="8"/>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8"/>
      </right>
      <top style="thick">
        <color indexed="64"/>
      </top>
      <bottom style="thick">
        <color indexed="64"/>
      </bottom>
      <diagonal/>
    </border>
    <border>
      <left style="thin">
        <color indexed="8"/>
      </left>
      <right style="thin">
        <color indexed="8"/>
      </right>
      <top style="thick">
        <color indexed="64"/>
      </top>
      <bottom style="thick">
        <color indexed="64"/>
      </bottom>
      <diagonal/>
    </border>
    <border>
      <left style="thin">
        <color indexed="8"/>
      </left>
      <right/>
      <top style="thick">
        <color indexed="64"/>
      </top>
      <bottom style="thick">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ck">
        <color indexed="8"/>
      </top>
      <bottom/>
      <diagonal/>
    </border>
    <border>
      <left/>
      <right style="thin">
        <color indexed="8"/>
      </right>
      <top style="thick">
        <color indexed="8"/>
      </top>
      <bottom/>
      <diagonal/>
    </border>
    <border>
      <left/>
      <right/>
      <top style="thin">
        <color indexed="8"/>
      </top>
      <bottom style="thin">
        <color indexed="8"/>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style="thin">
        <color indexed="64"/>
      </left>
      <right style="thin">
        <color indexed="64"/>
      </right>
      <top style="thin">
        <color indexed="64"/>
      </top>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medium">
        <color indexed="64"/>
      </left>
      <right style="thin">
        <color auto="1"/>
      </right>
      <top style="thin">
        <color auto="1"/>
      </top>
      <bottom style="thin">
        <color indexed="64"/>
      </bottom>
      <diagonal/>
    </border>
    <border>
      <left style="medium">
        <color indexed="64"/>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auto="1"/>
      </right>
      <top style="thin">
        <color auto="1"/>
      </top>
      <bottom/>
      <diagonal/>
    </border>
    <border>
      <left/>
      <right style="thin">
        <color auto="1"/>
      </right>
      <top style="thin">
        <color auto="1"/>
      </top>
      <bottom/>
      <diagonal/>
    </border>
    <border>
      <left style="thin">
        <color indexed="64"/>
      </left>
      <right style="thin">
        <color indexed="64"/>
      </right>
      <top style="thin">
        <color auto="1"/>
      </top>
      <bottom/>
      <diagonal/>
    </border>
    <border>
      <left style="medium">
        <color auto="1"/>
      </left>
      <right style="medium">
        <color auto="1"/>
      </right>
      <top style="medium">
        <color auto="1"/>
      </top>
      <bottom style="medium">
        <color auto="1"/>
      </bottom>
      <diagonal/>
    </border>
  </borders>
  <cellStyleXfs count="8">
    <xf numFmtId="0" fontId="0" fillId="0" borderId="0"/>
    <xf numFmtId="0" fontId="1" fillId="0" borderId="0"/>
    <xf numFmtId="0" fontId="20" fillId="0" borderId="270" applyNumberFormat="0" applyFill="0" applyAlignment="0" applyProtection="0"/>
    <xf numFmtId="0" fontId="20" fillId="0" borderId="270" applyNumberFormat="0" applyFill="0" applyAlignment="0" applyProtection="0"/>
    <xf numFmtId="176" fontId="19" fillId="0" borderId="0" applyFill="0" applyBorder="0" applyAlignment="0" applyProtection="0"/>
    <xf numFmtId="9" fontId="19" fillId="0" borderId="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1237">
    <xf numFmtId="0" fontId="0" fillId="0" borderId="0" xfId="0"/>
    <xf numFmtId="49" fontId="2" fillId="0" borderId="0" xfId="0" applyNumberFormat="1" applyFont="1" applyFill="1" applyAlignment="1">
      <alignment vertical="center" shrinkToFit="1"/>
    </xf>
    <xf numFmtId="49" fontId="3" fillId="0" borderId="0" xfId="0" applyNumberFormat="1" applyFont="1" applyFill="1" applyAlignment="1">
      <alignment vertical="center" shrinkToFit="1"/>
    </xf>
    <xf numFmtId="49" fontId="4" fillId="0" borderId="0" xfId="0" applyNumberFormat="1" applyFont="1" applyFill="1" applyAlignment="1">
      <alignment vertical="center" shrinkToFit="1"/>
    </xf>
    <xf numFmtId="0" fontId="2" fillId="0" borderId="0" xfId="0" applyFont="1"/>
    <xf numFmtId="49" fontId="2" fillId="0" borderId="0" xfId="0" applyNumberFormat="1" applyFont="1" applyFill="1" applyAlignment="1" applyProtection="1">
      <alignment vertical="center" shrinkToFit="1"/>
    </xf>
    <xf numFmtId="49" fontId="2" fillId="0" borderId="0" xfId="0" applyNumberFormat="1" applyFont="1" applyFill="1" applyBorder="1" applyAlignment="1">
      <alignment vertical="center" shrinkToFit="1"/>
    </xf>
    <xf numFmtId="49" fontId="5" fillId="0" borderId="0" xfId="0" applyNumberFormat="1" applyFont="1" applyFill="1" applyBorder="1" applyAlignment="1" applyProtection="1">
      <alignment horizontal="center" vertical="center" shrinkToFit="1"/>
    </xf>
    <xf numFmtId="49" fontId="2" fillId="0" borderId="0" xfId="0" applyNumberFormat="1" applyFont="1" applyFill="1" applyBorder="1" applyAlignment="1" applyProtection="1">
      <alignment vertical="center" shrinkToFit="1"/>
    </xf>
    <xf numFmtId="0" fontId="0" fillId="0" borderId="0" xfId="0" applyFont="1" applyAlignment="1">
      <alignment vertical="center"/>
    </xf>
    <xf numFmtId="49" fontId="11" fillId="0" borderId="0" xfId="0" applyNumberFormat="1" applyFont="1" applyFill="1" applyAlignment="1" applyProtection="1">
      <alignment vertical="center" shrinkToFit="1"/>
    </xf>
    <xf numFmtId="49" fontId="12" fillId="0" borderId="0" xfId="0" applyNumberFormat="1" applyFont="1" applyFill="1" applyAlignment="1" applyProtection="1">
      <alignment vertical="center" shrinkToFit="1"/>
    </xf>
    <xf numFmtId="49" fontId="12" fillId="0" borderId="0" xfId="0" applyNumberFormat="1" applyFont="1" applyFill="1" applyBorder="1" applyAlignment="1" applyProtection="1">
      <alignment vertical="center" shrinkToFit="1"/>
    </xf>
    <xf numFmtId="49" fontId="4" fillId="0" borderId="0" xfId="0" applyNumberFormat="1" applyFont="1" applyFill="1" applyAlignment="1" applyProtection="1">
      <alignment vertical="center" shrinkToFit="1"/>
    </xf>
    <xf numFmtId="49" fontId="4" fillId="0" borderId="0" xfId="0" applyNumberFormat="1" applyFont="1" applyFill="1" applyBorder="1" applyAlignment="1" applyProtection="1">
      <alignment vertical="center" shrinkToFit="1"/>
    </xf>
    <xf numFmtId="49" fontId="4" fillId="0" borderId="0" xfId="0" applyNumberFormat="1" applyFont="1" applyFill="1" applyBorder="1" applyAlignment="1" applyProtection="1">
      <alignment horizontal="center" vertical="center" shrinkToFit="1"/>
    </xf>
    <xf numFmtId="49" fontId="5" fillId="0" borderId="0" xfId="0" applyNumberFormat="1" applyFont="1" applyFill="1" applyBorder="1" applyAlignment="1" applyProtection="1">
      <alignment vertical="center" shrinkToFit="1"/>
    </xf>
    <xf numFmtId="49" fontId="5" fillId="0" borderId="0" xfId="0" applyNumberFormat="1" applyFont="1" applyFill="1" applyAlignment="1" applyProtection="1">
      <alignment vertical="center" shrinkToFit="1"/>
    </xf>
    <xf numFmtId="49" fontId="5" fillId="0" borderId="36" xfId="0" applyNumberFormat="1" applyFont="1" applyFill="1" applyBorder="1" applyAlignment="1" applyProtection="1">
      <alignment vertical="center" shrinkToFit="1"/>
    </xf>
    <xf numFmtId="49" fontId="3" fillId="0" borderId="0" xfId="0" applyNumberFormat="1" applyFont="1" applyFill="1" applyBorder="1" applyAlignment="1" applyProtection="1">
      <alignment vertical="center" shrinkToFit="1"/>
    </xf>
    <xf numFmtId="49" fontId="3" fillId="0" borderId="0" xfId="0" applyNumberFormat="1" applyFont="1" applyFill="1" applyAlignment="1" applyProtection="1">
      <alignment vertical="center" shrinkToFit="1"/>
    </xf>
    <xf numFmtId="49" fontId="2" fillId="0" borderId="0" xfId="0" applyNumberFormat="1" applyFont="1" applyAlignment="1">
      <alignment vertical="center"/>
    </xf>
    <xf numFmtId="0" fontId="2" fillId="0" borderId="0" xfId="0" applyFont="1" applyAlignment="1">
      <alignment vertical="center"/>
    </xf>
    <xf numFmtId="0" fontId="0" fillId="0" borderId="0" xfId="0" applyFont="1" applyAlignment="1">
      <alignment vertical="top"/>
    </xf>
    <xf numFmtId="0" fontId="0" fillId="0" borderId="0" xfId="0" applyFont="1" applyAlignment="1">
      <alignment horizontal="center" vertical="top"/>
    </xf>
    <xf numFmtId="0" fontId="15" fillId="13" borderId="85" xfId="0" applyFont="1" applyFill="1" applyBorder="1" applyAlignment="1">
      <alignment horizontal="center" vertical="center"/>
    </xf>
    <xf numFmtId="0" fontId="15" fillId="13" borderId="86" xfId="0" applyFont="1" applyFill="1" applyBorder="1" applyAlignment="1">
      <alignment horizontal="center" vertical="center"/>
    </xf>
    <xf numFmtId="0" fontId="15" fillId="13" borderId="86" xfId="0" applyNumberFormat="1" applyFont="1" applyFill="1" applyBorder="1" applyAlignment="1">
      <alignment horizontal="center" vertical="center"/>
    </xf>
    <xf numFmtId="0" fontId="2" fillId="0" borderId="0" xfId="0" applyFont="1" applyAlignment="1" applyProtection="1">
      <alignment vertical="center"/>
    </xf>
    <xf numFmtId="49" fontId="2" fillId="0" borderId="0" xfId="0" applyNumberFormat="1" applyFont="1" applyAlignment="1" applyProtection="1">
      <alignment vertical="center"/>
    </xf>
    <xf numFmtId="0" fontId="4" fillId="0" borderId="0" xfId="0" applyFont="1" applyAlignment="1" applyProtection="1">
      <alignment vertical="center"/>
    </xf>
    <xf numFmtId="0" fontId="4" fillId="0" borderId="0" xfId="0" applyFont="1" applyAlignment="1" applyProtection="1">
      <alignment vertical="center" shrinkToFit="1"/>
    </xf>
    <xf numFmtId="0" fontId="8" fillId="0" borderId="0" xfId="0" applyFont="1" applyAlignment="1" applyProtection="1">
      <alignment vertical="center" shrinkToFit="1"/>
    </xf>
    <xf numFmtId="0" fontId="0" fillId="0" borderId="0" xfId="0" applyAlignment="1" applyProtection="1">
      <alignment vertical="center"/>
    </xf>
    <xf numFmtId="49" fontId="2" fillId="0" borderId="0" xfId="0" applyNumberFormat="1" applyFont="1" applyProtection="1"/>
    <xf numFmtId="0" fontId="2" fillId="0" borderId="0" xfId="0" applyFont="1" applyProtection="1"/>
    <xf numFmtId="0" fontId="4" fillId="0" borderId="0" xfId="0" applyFont="1" applyBorder="1" applyAlignment="1" applyProtection="1">
      <alignment vertical="center"/>
    </xf>
    <xf numFmtId="0" fontId="2" fillId="0" borderId="0" xfId="0" applyFont="1" applyBorder="1" applyAlignment="1" applyProtection="1">
      <alignment vertical="center"/>
    </xf>
    <xf numFmtId="0" fontId="4" fillId="0" borderId="10" xfId="0" applyFont="1" applyBorder="1" applyAlignment="1" applyProtection="1">
      <alignment vertical="center"/>
    </xf>
    <xf numFmtId="0" fontId="2" fillId="0" borderId="10" xfId="0" applyFont="1" applyBorder="1" applyAlignment="1" applyProtection="1">
      <alignment vertical="center"/>
    </xf>
    <xf numFmtId="0" fontId="2" fillId="0" borderId="0" xfId="0" applyFont="1" applyAlignment="1" applyProtection="1">
      <alignment horizontal="center" vertical="center"/>
    </xf>
    <xf numFmtId="0" fontId="2" fillId="0" borderId="0" xfId="0" applyFont="1" applyFill="1" applyProtection="1"/>
    <xf numFmtId="0" fontId="2" fillId="0" borderId="0" xfId="0" applyFont="1" applyAlignment="1" applyProtection="1">
      <alignment horizontal="center" vertical="center" shrinkToFit="1"/>
    </xf>
    <xf numFmtId="0" fontId="2" fillId="0" borderId="0" xfId="0" applyFont="1" applyBorder="1" applyProtection="1"/>
    <xf numFmtId="0" fontId="0" fillId="0" borderId="151" xfId="0" applyFont="1" applyBorder="1" applyAlignment="1" applyProtection="1">
      <alignment horizontal="center" vertical="center"/>
      <protection locked="0"/>
    </xf>
    <xf numFmtId="171" fontId="4" fillId="0" borderId="0" xfId="0" applyNumberFormat="1" applyFont="1" applyFill="1" applyBorder="1" applyAlignment="1" applyProtection="1">
      <alignment vertical="center" shrinkToFit="1"/>
    </xf>
    <xf numFmtId="171" fontId="5" fillId="0" borderId="0" xfId="0" applyNumberFormat="1" applyFont="1" applyFill="1" applyBorder="1" applyAlignment="1" applyProtection="1">
      <alignment vertical="center" shrinkToFit="1"/>
    </xf>
    <xf numFmtId="0" fontId="4" fillId="0" borderId="0" xfId="0" applyNumberFormat="1" applyFont="1" applyFill="1" applyBorder="1" applyAlignment="1" applyProtection="1">
      <alignment vertical="center" shrinkToFit="1"/>
    </xf>
    <xf numFmtId="1" fontId="4" fillId="0" borderId="0" xfId="0" applyNumberFormat="1" applyFont="1" applyFill="1" applyBorder="1" applyAlignment="1" applyProtection="1">
      <alignment vertical="center" shrinkToFit="1"/>
    </xf>
    <xf numFmtId="49" fontId="2" fillId="0" borderId="0" xfId="0" applyNumberFormat="1" applyFont="1" applyFill="1" applyBorder="1" applyAlignment="1" applyProtection="1">
      <alignment horizontal="center" vertical="center" shrinkToFit="1"/>
    </xf>
    <xf numFmtId="49" fontId="3" fillId="0" borderId="0" xfId="0" applyNumberFormat="1" applyFont="1" applyFill="1" applyBorder="1" applyAlignment="1">
      <alignment vertical="center" shrinkToFit="1"/>
    </xf>
    <xf numFmtId="0" fontId="2" fillId="0" borderId="0" xfId="0" applyNumberFormat="1" applyFont="1" applyFill="1" applyBorder="1" applyAlignment="1">
      <alignment vertical="center" shrinkToFit="1"/>
    </xf>
    <xf numFmtId="49" fontId="4" fillId="0" borderId="0" xfId="0" applyNumberFormat="1" applyFont="1" applyFill="1" applyBorder="1" applyAlignment="1">
      <alignment vertical="center" shrinkToFit="1"/>
    </xf>
    <xf numFmtId="0" fontId="0" fillId="0" borderId="318" xfId="0" applyFont="1" applyFill="1" applyBorder="1" applyAlignment="1" applyProtection="1">
      <alignment horizontal="center" vertical="center"/>
      <protection locked="0"/>
    </xf>
    <xf numFmtId="0" fontId="0" fillId="0" borderId="49" xfId="0" applyFont="1" applyBorder="1" applyAlignment="1" applyProtection="1">
      <alignment horizontal="center" vertical="center"/>
      <protection locked="0"/>
    </xf>
    <xf numFmtId="0" fontId="0" fillId="0" borderId="318" xfId="0" applyFill="1" applyBorder="1" applyAlignment="1" applyProtection="1">
      <alignment horizontal="center" vertical="center"/>
      <protection locked="0"/>
    </xf>
    <xf numFmtId="0" fontId="4" fillId="0" borderId="291" xfId="0" applyNumberFormat="1" applyFont="1" applyFill="1" applyBorder="1" applyAlignment="1">
      <alignment horizontal="center" vertical="center" shrinkToFit="1"/>
    </xf>
    <xf numFmtId="0" fontId="5" fillId="8" borderId="33" xfId="0" applyFont="1" applyFill="1" applyBorder="1" applyAlignment="1" applyProtection="1">
      <alignment horizontal="center" vertical="center"/>
    </xf>
    <xf numFmtId="0" fontId="4" fillId="0" borderId="0" xfId="0" applyFont="1" applyAlignment="1">
      <alignment vertical="center"/>
    </xf>
    <xf numFmtId="0" fontId="4" fillId="0" borderId="0" xfId="0" applyFont="1"/>
    <xf numFmtId="0" fontId="4" fillId="0" borderId="0" xfId="0" applyFont="1" applyAlignment="1">
      <alignment horizontal="left"/>
    </xf>
    <xf numFmtId="0" fontId="15" fillId="15" borderId="116" xfId="1" applyFont="1" applyFill="1" applyBorder="1" applyAlignment="1">
      <alignment horizontal="left" vertical="center"/>
    </xf>
    <xf numFmtId="0" fontId="15" fillId="15" borderId="117" xfId="1" applyFont="1" applyFill="1" applyBorder="1" applyAlignment="1">
      <alignment horizontal="left" vertical="center" wrapText="1"/>
    </xf>
    <xf numFmtId="0" fontId="15" fillId="15" borderId="117" xfId="1" applyFont="1" applyFill="1" applyBorder="1" applyAlignment="1">
      <alignment horizontal="center" vertical="center" wrapText="1"/>
    </xf>
    <xf numFmtId="0" fontId="15" fillId="15" borderId="117" xfId="1" applyFont="1" applyFill="1" applyBorder="1" applyAlignment="1">
      <alignment horizontal="center" vertical="center"/>
    </xf>
    <xf numFmtId="0" fontId="15" fillId="15" borderId="167" xfId="1" applyFont="1" applyFill="1" applyBorder="1" applyAlignment="1">
      <alignment horizontal="center" vertical="center" wrapText="1"/>
    </xf>
    <xf numFmtId="0" fontId="15" fillId="15" borderId="118" xfId="1" applyFont="1" applyFill="1" applyBorder="1" applyAlignment="1">
      <alignment horizontal="center" vertical="center" wrapText="1"/>
    </xf>
    <xf numFmtId="0" fontId="16" fillId="0" borderId="0" xfId="1" applyFont="1"/>
    <xf numFmtId="0" fontId="16" fillId="17" borderId="114" xfId="1" applyFont="1" applyFill="1" applyBorder="1"/>
    <xf numFmtId="0" fontId="16" fillId="17" borderId="52" xfId="1" applyFont="1" applyFill="1" applyBorder="1" applyAlignment="1">
      <alignment vertical="center" wrapText="1"/>
    </xf>
    <xf numFmtId="0" fontId="16" fillId="17" borderId="52" xfId="1" applyNumberFormat="1" applyFont="1" applyFill="1" applyBorder="1" applyAlignment="1">
      <alignment horizontal="center" vertical="center" wrapText="1"/>
    </xf>
    <xf numFmtId="0" fontId="16" fillId="17" borderId="52" xfId="1" applyNumberFormat="1" applyFont="1" applyFill="1" applyBorder="1" applyAlignment="1">
      <alignment horizontal="center"/>
    </xf>
    <xf numFmtId="0" fontId="16" fillId="17" borderId="52" xfId="1" applyFont="1" applyFill="1" applyBorder="1" applyAlignment="1">
      <alignment horizontal="center"/>
    </xf>
    <xf numFmtId="0" fontId="16" fillId="17" borderId="77" xfId="1" applyFont="1" applyFill="1" applyBorder="1" applyAlignment="1">
      <alignment horizontal="center"/>
    </xf>
    <xf numFmtId="0" fontId="16" fillId="17" borderId="115" xfId="1" applyFont="1" applyFill="1" applyBorder="1" applyAlignment="1">
      <alignment horizontal="center"/>
    </xf>
    <xf numFmtId="0" fontId="19" fillId="0" borderId="0" xfId="0" applyFont="1" applyAlignment="1">
      <alignment vertical="center"/>
    </xf>
    <xf numFmtId="0" fontId="16" fillId="17" borderId="108" xfId="1" applyFont="1" applyFill="1" applyBorder="1"/>
    <xf numFmtId="0" fontId="16" fillId="17" borderId="49" xfId="1" applyFont="1" applyFill="1" applyBorder="1" applyAlignment="1">
      <alignment vertical="center" wrapText="1"/>
    </xf>
    <xf numFmtId="0" fontId="16" fillId="17" borderId="49" xfId="1" applyNumberFormat="1" applyFont="1" applyFill="1" applyBorder="1" applyAlignment="1">
      <alignment horizontal="center" vertical="center" wrapText="1"/>
    </xf>
    <xf numFmtId="0" fontId="16" fillId="17" borderId="49" xfId="1" applyNumberFormat="1" applyFont="1" applyFill="1" applyBorder="1" applyAlignment="1">
      <alignment horizontal="center"/>
    </xf>
    <xf numFmtId="0" fontId="16" fillId="17" borderId="49" xfId="1" applyFont="1" applyFill="1" applyBorder="1" applyAlignment="1">
      <alignment horizontal="center"/>
    </xf>
    <xf numFmtId="0" fontId="16" fillId="17" borderId="168" xfId="1" applyFont="1" applyFill="1" applyBorder="1" applyAlignment="1">
      <alignment horizontal="center"/>
    </xf>
    <xf numFmtId="0" fontId="16" fillId="17" borderId="171" xfId="1" applyFont="1" applyFill="1" applyBorder="1" applyAlignment="1">
      <alignment horizontal="center"/>
    </xf>
    <xf numFmtId="0" fontId="16" fillId="0" borderId="0" xfId="1" applyFont="1" applyFill="1" applyBorder="1"/>
    <xf numFmtId="0" fontId="16" fillId="17" borderId="292" xfId="1" applyFont="1" applyFill="1" applyBorder="1"/>
    <xf numFmtId="0" fontId="16" fillId="17" borderId="288" xfId="1" applyNumberFormat="1" applyFont="1" applyFill="1" applyBorder="1" applyAlignment="1">
      <alignment horizontal="center" vertical="center" wrapText="1"/>
    </xf>
    <xf numFmtId="0" fontId="16" fillId="17" borderId="288" xfId="1" applyNumberFormat="1" applyFont="1" applyFill="1" applyBorder="1" applyAlignment="1">
      <alignment horizontal="center"/>
    </xf>
    <xf numFmtId="0" fontId="16" fillId="17" borderId="288" xfId="1" applyFont="1" applyFill="1" applyBorder="1" applyAlignment="1">
      <alignment horizontal="center"/>
    </xf>
    <xf numFmtId="0" fontId="16" fillId="17" borderId="290" xfId="1" applyFont="1" applyFill="1" applyBorder="1" applyAlignment="1">
      <alignment horizontal="center"/>
    </xf>
    <xf numFmtId="0" fontId="16" fillId="17" borderId="293" xfId="1" applyFont="1" applyFill="1" applyBorder="1" applyAlignment="1">
      <alignment horizontal="center"/>
    </xf>
    <xf numFmtId="0" fontId="24" fillId="0" borderId="0" xfId="1" applyFont="1" applyFill="1"/>
    <xf numFmtId="0" fontId="16" fillId="17" borderId="119" xfId="1" applyFont="1" applyFill="1" applyBorder="1"/>
    <xf numFmtId="0" fontId="16" fillId="17" borderId="91" xfId="1" applyFont="1" applyFill="1" applyBorder="1" applyAlignment="1">
      <alignment vertical="center" wrapText="1"/>
    </xf>
    <xf numFmtId="0" fontId="16" fillId="17" borderId="91" xfId="1" applyNumberFormat="1" applyFont="1" applyFill="1" applyBorder="1" applyAlignment="1">
      <alignment horizontal="center" vertical="center" wrapText="1"/>
    </xf>
    <xf numFmtId="0" fontId="16" fillId="17" borderId="91" xfId="1" applyNumberFormat="1" applyFont="1" applyFill="1" applyBorder="1" applyAlignment="1">
      <alignment horizontal="center"/>
    </xf>
    <xf numFmtId="0" fontId="16" fillId="17" borderId="91" xfId="1" applyFont="1" applyFill="1" applyBorder="1" applyAlignment="1">
      <alignment horizontal="center"/>
    </xf>
    <xf numFmtId="0" fontId="16" fillId="17" borderId="169" xfId="1" applyFont="1" applyFill="1" applyBorder="1" applyAlignment="1">
      <alignment horizontal="center"/>
    </xf>
    <xf numFmtId="0" fontId="16" fillId="17" borderId="120" xfId="1" applyFont="1" applyFill="1" applyBorder="1" applyAlignment="1">
      <alignment horizontal="center"/>
    </xf>
    <xf numFmtId="0" fontId="16" fillId="8" borderId="114" xfId="1" applyFont="1" applyFill="1" applyBorder="1"/>
    <xf numFmtId="0" fontId="16" fillId="8" borderId="52" xfId="1" applyFont="1" applyFill="1" applyBorder="1" applyAlignment="1">
      <alignment vertical="center" wrapText="1"/>
    </xf>
    <xf numFmtId="0" fontId="16" fillId="8" borderId="52" xfId="1" applyNumberFormat="1" applyFont="1" applyFill="1" applyBorder="1" applyAlignment="1">
      <alignment horizontal="center" vertical="center" wrapText="1"/>
    </xf>
    <xf numFmtId="0" fontId="16" fillId="8" borderId="52" xfId="1" applyNumberFormat="1" applyFont="1" applyFill="1" applyBorder="1" applyAlignment="1">
      <alignment horizontal="center"/>
    </xf>
    <xf numFmtId="0" fontId="16" fillId="8" borderId="52" xfId="1" applyFont="1" applyFill="1" applyBorder="1" applyAlignment="1">
      <alignment horizontal="center"/>
    </xf>
    <xf numFmtId="0" fontId="19" fillId="8" borderId="52" xfId="1" applyFont="1" applyFill="1" applyBorder="1" applyAlignment="1">
      <alignment horizontal="center"/>
    </xf>
    <xf numFmtId="49" fontId="16" fillId="8" borderId="52" xfId="1" applyNumberFormat="1" applyFont="1" applyFill="1" applyBorder="1" applyAlignment="1">
      <alignment horizontal="center"/>
    </xf>
    <xf numFmtId="49" fontId="16" fillId="8" borderId="77" xfId="1" applyNumberFormat="1" applyFont="1" applyFill="1" applyBorder="1" applyAlignment="1">
      <alignment horizontal="center"/>
    </xf>
    <xf numFmtId="49" fontId="16" fillId="8" borderId="115" xfId="1" applyNumberFormat="1" applyFont="1" applyFill="1" applyBorder="1" applyAlignment="1">
      <alignment horizontal="center"/>
    </xf>
    <xf numFmtId="0" fontId="24" fillId="0" borderId="0" xfId="1" applyFont="1"/>
    <xf numFmtId="0" fontId="16" fillId="8" borderId="108" xfId="1" applyFont="1" applyFill="1" applyBorder="1"/>
    <xf numFmtId="0" fontId="16" fillId="8" borderId="49" xfId="1" applyFont="1" applyFill="1" applyBorder="1" applyAlignment="1">
      <alignment vertical="center" wrapText="1"/>
    </xf>
    <xf numFmtId="0" fontId="16" fillId="8" borderId="49" xfId="1" applyNumberFormat="1" applyFont="1" applyFill="1" applyBorder="1" applyAlignment="1">
      <alignment horizontal="center" vertical="center" wrapText="1"/>
    </xf>
    <xf numFmtId="0" fontId="16" fillId="8" borderId="49" xfId="1" applyNumberFormat="1" applyFont="1" applyFill="1" applyBorder="1" applyAlignment="1">
      <alignment horizontal="center"/>
    </xf>
    <xf numFmtId="0" fontId="16" fillId="8" borderId="49" xfId="1" applyFont="1" applyFill="1" applyBorder="1" applyAlignment="1">
      <alignment horizontal="center"/>
    </xf>
    <xf numFmtId="0" fontId="19" fillId="8" borderId="49" xfId="1" applyFont="1" applyFill="1" applyBorder="1" applyAlignment="1">
      <alignment horizontal="center"/>
    </xf>
    <xf numFmtId="49" fontId="16" fillId="8" borderId="49" xfId="1" applyNumberFormat="1" applyFont="1" applyFill="1" applyBorder="1" applyAlignment="1">
      <alignment horizontal="center"/>
    </xf>
    <xf numFmtId="49" fontId="16" fillId="8" borderId="168" xfId="1" applyNumberFormat="1" applyFont="1" applyFill="1" applyBorder="1" applyAlignment="1">
      <alignment horizontal="center"/>
    </xf>
    <xf numFmtId="49" fontId="16" fillId="8" borderId="171" xfId="1" applyNumberFormat="1" applyFont="1" applyFill="1" applyBorder="1" applyAlignment="1">
      <alignment horizontal="center"/>
    </xf>
    <xf numFmtId="0" fontId="16" fillId="8" borderId="119" xfId="1" applyFont="1" applyFill="1" applyBorder="1"/>
    <xf numFmtId="0" fontId="16" fillId="8" borderId="91" xfId="1" applyFont="1" applyFill="1" applyBorder="1" applyAlignment="1">
      <alignment vertical="center" wrapText="1"/>
    </xf>
    <xf numFmtId="0" fontId="16" fillId="8" borderId="91" xfId="1" applyNumberFormat="1" applyFont="1" applyFill="1" applyBorder="1" applyAlignment="1">
      <alignment horizontal="center" vertical="center" wrapText="1"/>
    </xf>
    <xf numFmtId="0" fontId="16" fillId="8" borderId="91" xfId="1" applyNumberFormat="1" applyFont="1" applyFill="1" applyBorder="1" applyAlignment="1">
      <alignment horizontal="center"/>
    </xf>
    <xf numFmtId="0" fontId="16" fillId="8" borderId="91" xfId="1" applyFont="1" applyFill="1" applyBorder="1" applyAlignment="1">
      <alignment horizontal="center"/>
    </xf>
    <xf numFmtId="0" fontId="19" fillId="8" borderId="91" xfId="1" applyFont="1" applyFill="1" applyBorder="1" applyAlignment="1">
      <alignment horizontal="center"/>
    </xf>
    <xf numFmtId="49" fontId="16" fillId="8" borderId="91" xfId="1" applyNumberFormat="1" applyFont="1" applyFill="1" applyBorder="1" applyAlignment="1">
      <alignment horizontal="center"/>
    </xf>
    <xf numFmtId="49" fontId="16" fillId="8" borderId="169" xfId="1" applyNumberFormat="1" applyFont="1" applyFill="1" applyBorder="1" applyAlignment="1">
      <alignment horizontal="center"/>
    </xf>
    <xf numFmtId="49" fontId="16" fillId="8" borderId="120" xfId="1" applyNumberFormat="1" applyFont="1" applyFill="1" applyBorder="1" applyAlignment="1">
      <alignment horizontal="center"/>
    </xf>
    <xf numFmtId="0" fontId="16" fillId="16" borderId="108" xfId="1" applyFont="1" applyFill="1" applyBorder="1"/>
    <xf numFmtId="0" fontId="16" fillId="16" borderId="49" xfId="1" applyFont="1" applyFill="1" applyBorder="1" applyAlignment="1">
      <alignment vertical="center" wrapText="1"/>
    </xf>
    <xf numFmtId="0" fontId="16" fillId="16" borderId="49" xfId="1" applyNumberFormat="1" applyFont="1" applyFill="1" applyBorder="1" applyAlignment="1">
      <alignment horizontal="center" vertical="center" wrapText="1"/>
    </xf>
    <xf numFmtId="0" fontId="16" fillId="16" borderId="49" xfId="1" applyNumberFormat="1" applyFont="1" applyFill="1" applyBorder="1" applyAlignment="1">
      <alignment horizontal="center"/>
    </xf>
    <xf numFmtId="0" fontId="16" fillId="16" borderId="49" xfId="1" applyFont="1" applyFill="1" applyBorder="1" applyAlignment="1">
      <alignment horizontal="center"/>
    </xf>
    <xf numFmtId="0" fontId="16" fillId="16" borderId="168" xfId="1" applyFont="1" applyFill="1" applyBorder="1" applyAlignment="1">
      <alignment horizontal="center"/>
    </xf>
    <xf numFmtId="0" fontId="16" fillId="16" borderId="171" xfId="1" applyFont="1" applyFill="1" applyBorder="1" applyAlignment="1">
      <alignment horizontal="center"/>
    </xf>
    <xf numFmtId="0" fontId="16" fillId="16" borderId="114" xfId="1" applyFont="1" applyFill="1" applyBorder="1"/>
    <xf numFmtId="0" fontId="16" fillId="16" borderId="52" xfId="1" applyFont="1" applyFill="1" applyBorder="1" applyAlignment="1">
      <alignment vertical="center" wrapText="1"/>
    </xf>
    <xf numFmtId="0" fontId="16" fillId="16" borderId="52" xfId="1" applyNumberFormat="1" applyFont="1" applyFill="1" applyBorder="1" applyAlignment="1">
      <alignment horizontal="center" vertical="center" wrapText="1"/>
    </xf>
    <xf numFmtId="0" fontId="16" fillId="16" borderId="52" xfId="1" applyNumberFormat="1" applyFont="1" applyFill="1" applyBorder="1" applyAlignment="1">
      <alignment horizontal="center"/>
    </xf>
    <xf numFmtId="0" fontId="16" fillId="16" borderId="52" xfId="1" applyFont="1" applyFill="1" applyBorder="1" applyAlignment="1">
      <alignment horizontal="center"/>
    </xf>
    <xf numFmtId="0" fontId="16" fillId="16" borderId="77" xfId="1" applyFont="1" applyFill="1" applyBorder="1" applyAlignment="1">
      <alignment horizontal="center"/>
    </xf>
    <xf numFmtId="0" fontId="16" fillId="16" borderId="115" xfId="1" applyFont="1" applyFill="1" applyBorder="1" applyAlignment="1">
      <alignment horizontal="center"/>
    </xf>
    <xf numFmtId="0" fontId="16" fillId="16" borderId="109" xfId="1" applyFont="1" applyFill="1" applyBorder="1"/>
    <xf numFmtId="0" fontId="16" fillId="16" borderId="110" xfId="1" applyFont="1" applyFill="1" applyBorder="1" applyAlignment="1">
      <alignment vertical="center" wrapText="1"/>
    </xf>
    <xf numFmtId="0" fontId="16" fillId="16" borderId="110" xfId="1" applyNumberFormat="1" applyFont="1" applyFill="1" applyBorder="1" applyAlignment="1">
      <alignment horizontal="center" vertical="center" wrapText="1"/>
    </xf>
    <xf numFmtId="0" fontId="16" fillId="16" borderId="110" xfId="1" applyNumberFormat="1" applyFont="1" applyFill="1" applyBorder="1" applyAlignment="1">
      <alignment horizontal="center"/>
    </xf>
    <xf numFmtId="0" fontId="16" fillId="16" borderId="110" xfId="1" applyFont="1" applyFill="1" applyBorder="1" applyAlignment="1">
      <alignment horizontal="center"/>
    </xf>
    <xf numFmtId="0" fontId="16" fillId="16" borderId="170" xfId="1" applyFont="1" applyFill="1" applyBorder="1" applyAlignment="1">
      <alignment horizontal="center"/>
    </xf>
    <xf numFmtId="0" fontId="16" fillId="16" borderId="111" xfId="1" applyFont="1" applyFill="1" applyBorder="1" applyAlignment="1">
      <alignment horizontal="center"/>
    </xf>
    <xf numFmtId="0" fontId="16" fillId="23" borderId="108" xfId="1" applyFont="1" applyFill="1" applyBorder="1"/>
    <xf numFmtId="0" fontId="16" fillId="23" borderId="49" xfId="1" applyFont="1" applyFill="1" applyBorder="1" applyAlignment="1">
      <alignment vertical="center" wrapText="1"/>
    </xf>
    <xf numFmtId="0" fontId="16" fillId="23" borderId="49" xfId="1" applyNumberFormat="1" applyFont="1" applyFill="1" applyBorder="1" applyAlignment="1">
      <alignment horizontal="center" vertical="center" wrapText="1"/>
    </xf>
    <xf numFmtId="0" fontId="16" fillId="23" borderId="49" xfId="1" applyNumberFormat="1" applyFont="1" applyFill="1" applyBorder="1" applyAlignment="1">
      <alignment horizontal="center"/>
    </xf>
    <xf numFmtId="0" fontId="16" fillId="23" borderId="49" xfId="1" applyFont="1" applyFill="1" applyBorder="1" applyAlignment="1">
      <alignment horizontal="center"/>
    </xf>
    <xf numFmtId="0" fontId="16" fillId="23" borderId="168" xfId="1" applyFont="1" applyFill="1" applyBorder="1" applyAlignment="1">
      <alignment horizontal="center"/>
    </xf>
    <xf numFmtId="0" fontId="16" fillId="23" borderId="171" xfId="1" applyFont="1" applyFill="1" applyBorder="1" applyAlignment="1">
      <alignment horizontal="center"/>
    </xf>
    <xf numFmtId="0" fontId="16" fillId="0" borderId="0" xfId="1" applyFont="1" applyAlignment="1">
      <alignment horizontal="center" vertical="center" wrapText="1"/>
    </xf>
    <xf numFmtId="0" fontId="16" fillId="0" borderId="0" xfId="1" applyFont="1" applyAlignment="1">
      <alignment horizontal="center"/>
    </xf>
    <xf numFmtId="0" fontId="15" fillId="0" borderId="0" xfId="1" applyFont="1" applyAlignment="1">
      <alignment horizontal="center"/>
    </xf>
    <xf numFmtId="49" fontId="2" fillId="0" borderId="0" xfId="0" applyNumberFormat="1" applyFont="1" applyAlignment="1" applyProtection="1">
      <alignment vertical="center" shrinkToFit="1"/>
    </xf>
    <xf numFmtId="49" fontId="4" fillId="0" borderId="0" xfId="0" applyNumberFormat="1" applyFont="1" applyAlignment="1" applyProtection="1">
      <alignment vertical="center" shrinkToFit="1"/>
    </xf>
    <xf numFmtId="49" fontId="4" fillId="0" borderId="45" xfId="0" applyNumberFormat="1" applyFont="1" applyBorder="1" applyAlignment="1" applyProtection="1">
      <alignment vertical="center" shrinkToFit="1"/>
    </xf>
    <xf numFmtId="49" fontId="4" fillId="0" borderId="0" xfId="0" applyNumberFormat="1" applyFont="1" applyBorder="1" applyAlignment="1" applyProtection="1">
      <alignment vertical="center" shrinkToFit="1"/>
    </xf>
    <xf numFmtId="49" fontId="4" fillId="0" borderId="7" xfId="0" applyNumberFormat="1" applyFont="1" applyBorder="1" applyAlignment="1" applyProtection="1">
      <alignment vertical="center" shrinkToFit="1"/>
    </xf>
    <xf numFmtId="49" fontId="4" fillId="0" borderId="0" xfId="0" applyNumberFormat="1" applyFont="1" applyBorder="1" applyAlignment="1" applyProtection="1">
      <alignment horizontal="left" vertical="center" shrinkToFit="1"/>
    </xf>
    <xf numFmtId="49" fontId="4" fillId="0" borderId="47" xfId="0" applyNumberFormat="1" applyFont="1" applyBorder="1" applyAlignment="1" applyProtection="1">
      <alignment vertical="center" shrinkToFit="1"/>
    </xf>
    <xf numFmtId="49" fontId="4" fillId="0" borderId="10" xfId="0" applyNumberFormat="1" applyFont="1" applyBorder="1" applyAlignment="1" applyProtection="1">
      <alignment vertical="center" shrinkToFit="1"/>
    </xf>
    <xf numFmtId="49" fontId="4" fillId="0" borderId="11" xfId="0" applyNumberFormat="1" applyFont="1" applyBorder="1" applyAlignment="1" applyProtection="1">
      <alignment vertical="center" shrinkToFit="1"/>
    </xf>
    <xf numFmtId="49" fontId="13" fillId="2" borderId="48" xfId="0" applyNumberFormat="1" applyFont="1" applyFill="1" applyBorder="1" applyAlignment="1" applyProtection="1">
      <alignment vertical="center"/>
    </xf>
    <xf numFmtId="0" fontId="0" fillId="0" borderId="0" xfId="0" applyFont="1" applyAlignment="1" applyProtection="1">
      <alignment vertical="center"/>
    </xf>
    <xf numFmtId="0" fontId="13" fillId="2" borderId="50" xfId="0" applyFont="1" applyFill="1" applyBorder="1" applyAlignment="1" applyProtection="1">
      <alignment vertical="center"/>
    </xf>
    <xf numFmtId="0" fontId="13" fillId="2" borderId="232" xfId="0" applyFont="1" applyFill="1" applyBorder="1" applyAlignment="1" applyProtection="1">
      <alignment vertical="center"/>
    </xf>
    <xf numFmtId="0" fontId="13" fillId="2" borderId="130" xfId="0" applyFont="1" applyFill="1" applyBorder="1" applyAlignment="1" applyProtection="1">
      <alignment vertical="center"/>
    </xf>
    <xf numFmtId="0" fontId="13" fillId="2" borderId="132" xfId="0" applyFont="1" applyFill="1" applyBorder="1" applyAlignment="1" applyProtection="1">
      <alignment vertical="center"/>
    </xf>
    <xf numFmtId="0" fontId="13" fillId="2" borderId="131" xfId="0" applyFont="1" applyFill="1" applyBorder="1" applyAlignment="1" applyProtection="1">
      <alignment vertical="center"/>
    </xf>
    <xf numFmtId="0" fontId="13" fillId="2" borderId="318" xfId="0" applyFont="1" applyFill="1" applyBorder="1" applyAlignment="1" applyProtection="1">
      <alignment vertical="center"/>
    </xf>
    <xf numFmtId="49" fontId="0" fillId="2" borderId="3" xfId="0" applyNumberFormat="1" applyFont="1" applyFill="1" applyBorder="1" applyAlignment="1" applyProtection="1">
      <alignment vertical="center" shrinkToFit="1"/>
    </xf>
    <xf numFmtId="0" fontId="0" fillId="2" borderId="51" xfId="0" applyFont="1" applyFill="1" applyBorder="1" applyAlignment="1" applyProtection="1">
      <alignment vertical="center"/>
    </xf>
    <xf numFmtId="49" fontId="0" fillId="2" borderId="76" xfId="0" applyNumberFormat="1" applyFont="1" applyFill="1" applyBorder="1" applyAlignment="1" applyProtection="1">
      <alignment vertical="center"/>
    </xf>
    <xf numFmtId="0" fontId="0" fillId="2" borderId="73" xfId="0" applyFont="1" applyFill="1" applyBorder="1" applyAlignment="1" applyProtection="1">
      <alignment vertical="center"/>
    </xf>
    <xf numFmtId="0" fontId="13" fillId="2" borderId="76" xfId="0" applyFont="1" applyFill="1" applyBorder="1" applyAlignment="1" applyProtection="1">
      <alignment vertical="center"/>
    </xf>
    <xf numFmtId="0" fontId="0" fillId="2" borderId="0" xfId="0" applyFont="1" applyFill="1" applyBorder="1" applyAlignment="1" applyProtection="1">
      <alignment vertical="center"/>
    </xf>
    <xf numFmtId="0" fontId="0" fillId="21" borderId="51" xfId="0" applyFont="1" applyFill="1" applyBorder="1" applyAlignment="1" applyProtection="1">
      <alignment vertical="center"/>
    </xf>
    <xf numFmtId="0" fontId="0" fillId="21" borderId="51" xfId="0" applyFont="1" applyFill="1" applyBorder="1" applyAlignment="1" applyProtection="1">
      <alignment horizontal="center" vertical="center"/>
    </xf>
    <xf numFmtId="0" fontId="0" fillId="21" borderId="51" xfId="0" applyFont="1" applyFill="1" applyBorder="1" applyAlignment="1" applyProtection="1">
      <alignment horizontal="left" vertical="center"/>
    </xf>
    <xf numFmtId="0" fontId="13" fillId="2" borderId="134" xfId="0" applyFont="1" applyFill="1" applyBorder="1" applyAlignment="1" applyProtection="1">
      <alignment vertical="center"/>
    </xf>
    <xf numFmtId="0" fontId="13" fillId="2" borderId="134" xfId="0" applyFont="1" applyFill="1" applyBorder="1" applyAlignment="1" applyProtection="1">
      <alignment horizontal="center" vertical="center"/>
    </xf>
    <xf numFmtId="0" fontId="0" fillId="2" borderId="51" xfId="0" applyFont="1" applyFill="1" applyBorder="1" applyAlignment="1" applyProtection="1">
      <alignment horizontal="center" vertical="center"/>
    </xf>
    <xf numFmtId="0" fontId="0" fillId="2" borderId="51" xfId="0" applyFont="1" applyFill="1" applyBorder="1" applyAlignment="1" applyProtection="1">
      <alignment horizontal="left" vertical="center"/>
    </xf>
    <xf numFmtId="0" fontId="0" fillId="2" borderId="52" xfId="0" applyFont="1" applyFill="1" applyBorder="1" applyAlignment="1" applyProtection="1">
      <alignment vertical="center"/>
    </xf>
    <xf numFmtId="49" fontId="0" fillId="2" borderId="77" xfId="0" applyNumberFormat="1" applyFont="1" applyFill="1" applyBorder="1" applyAlignment="1" applyProtection="1">
      <alignment vertical="center"/>
    </xf>
    <xf numFmtId="0" fontId="0" fillId="2" borderId="74" xfId="0" applyFont="1" applyFill="1" applyBorder="1" applyAlignment="1" applyProtection="1">
      <alignment vertical="center"/>
    </xf>
    <xf numFmtId="0" fontId="0" fillId="0" borderId="0" xfId="0" applyFont="1" applyFill="1" applyAlignment="1" applyProtection="1">
      <alignment vertical="center"/>
    </xf>
    <xf numFmtId="0" fontId="0" fillId="2" borderId="132" xfId="0" applyFont="1" applyFill="1" applyBorder="1" applyAlignment="1" applyProtection="1">
      <alignment vertical="center"/>
    </xf>
    <xf numFmtId="49" fontId="0" fillId="2" borderId="3" xfId="0" applyNumberFormat="1" applyFont="1" applyFill="1" applyBorder="1" applyAlignment="1" applyProtection="1">
      <alignment vertical="center"/>
    </xf>
    <xf numFmtId="0" fontId="13" fillId="2" borderId="156" xfId="0" applyFont="1" applyFill="1" applyBorder="1" applyAlignment="1" applyProtection="1">
      <alignment horizontal="center" vertical="center"/>
    </xf>
    <xf numFmtId="0" fontId="0" fillId="2" borderId="76" xfId="0" applyFont="1" applyFill="1" applyBorder="1" applyAlignment="1" applyProtection="1">
      <alignment horizontal="center" vertical="center"/>
    </xf>
    <xf numFmtId="0" fontId="0" fillId="2" borderId="73" xfId="0" applyFont="1" applyFill="1" applyBorder="1" applyAlignment="1" applyProtection="1">
      <alignment horizontal="center" vertical="center"/>
    </xf>
    <xf numFmtId="0" fontId="0" fillId="2" borderId="77" xfId="0" applyFont="1" applyFill="1" applyBorder="1" applyAlignment="1" applyProtection="1">
      <alignment horizontal="center" vertical="center"/>
    </xf>
    <xf numFmtId="0" fontId="0" fillId="2" borderId="74" xfId="0" applyFont="1" applyFill="1" applyBorder="1" applyAlignment="1" applyProtection="1">
      <alignment horizontal="center" vertical="center"/>
    </xf>
    <xf numFmtId="0" fontId="0" fillId="2" borderId="77" xfId="0" applyFont="1" applyFill="1" applyBorder="1" applyAlignment="1" applyProtection="1">
      <alignment vertical="center"/>
    </xf>
    <xf numFmtId="0" fontId="13" fillId="2" borderId="145"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13" fillId="2" borderId="163" xfId="0" applyFont="1" applyFill="1" applyBorder="1" applyAlignment="1" applyProtection="1">
      <alignment horizontal="left" vertical="center"/>
    </xf>
    <xf numFmtId="0" fontId="13" fillId="2" borderId="152" xfId="0" applyFont="1" applyFill="1" applyBorder="1" applyAlignment="1" applyProtection="1">
      <alignment horizontal="left" vertical="center"/>
    </xf>
    <xf numFmtId="0" fontId="0" fillId="3" borderId="51" xfId="0" applyFont="1" applyFill="1" applyBorder="1" applyAlignment="1" applyProtection="1">
      <alignment vertical="center" shrinkToFit="1"/>
    </xf>
    <xf numFmtId="0" fontId="13" fillId="15" borderId="159" xfId="0" applyFont="1" applyFill="1" applyBorder="1" applyAlignment="1" applyProtection="1">
      <alignment vertical="center"/>
    </xf>
    <xf numFmtId="0" fontId="15" fillId="13" borderId="160" xfId="0" applyFont="1" applyFill="1" applyBorder="1" applyAlignment="1" applyProtection="1">
      <alignment horizontal="left" vertical="center"/>
    </xf>
    <xf numFmtId="0" fontId="18" fillId="20" borderId="161" xfId="0" applyFont="1" applyFill="1" applyBorder="1" applyAlignment="1" applyProtection="1">
      <alignment vertical="center"/>
    </xf>
    <xf numFmtId="0" fontId="0" fillId="15" borderId="76" xfId="0" applyFont="1" applyFill="1" applyBorder="1" applyAlignment="1" applyProtection="1">
      <alignment vertical="center"/>
    </xf>
    <xf numFmtId="0" fontId="16" fillId="13" borderId="0" xfId="0" applyFont="1" applyFill="1" applyBorder="1" applyAlignment="1" applyProtection="1">
      <alignment horizontal="left" vertical="center"/>
    </xf>
    <xf numFmtId="49" fontId="0" fillId="2" borderId="5" xfId="0" applyNumberFormat="1" applyFont="1" applyFill="1" applyBorder="1" applyAlignment="1" applyProtection="1">
      <alignment vertical="center" shrinkToFit="1"/>
    </xf>
    <xf numFmtId="0" fontId="0" fillId="3" borderId="51" xfId="0" applyFont="1" applyFill="1" applyBorder="1" applyAlignment="1" applyProtection="1">
      <alignment vertical="center"/>
    </xf>
    <xf numFmtId="49" fontId="13" fillId="2" borderId="50" xfId="0" applyNumberFormat="1" applyFont="1" applyFill="1" applyBorder="1" applyAlignment="1" applyProtection="1">
      <alignment horizontal="center" vertical="center" shrinkToFit="1"/>
    </xf>
    <xf numFmtId="49" fontId="0" fillId="2" borderId="51" xfId="0" applyNumberFormat="1" applyFont="1" applyFill="1" applyBorder="1" applyAlignment="1" applyProtection="1">
      <alignment vertical="center"/>
    </xf>
    <xf numFmtId="0" fontId="13" fillId="2" borderId="324" xfId="0" applyFont="1" applyFill="1" applyBorder="1" applyAlignment="1" applyProtection="1">
      <alignment vertical="center"/>
    </xf>
    <xf numFmtId="0" fontId="13" fillId="2" borderId="325" xfId="0" applyFont="1" applyFill="1" applyBorder="1" applyAlignment="1" applyProtection="1">
      <alignment horizontal="center" vertical="center"/>
    </xf>
    <xf numFmtId="0" fontId="13" fillId="2" borderId="324" xfId="0" applyFont="1" applyFill="1" applyBorder="1" applyAlignment="1" applyProtection="1">
      <alignment horizontal="center" vertical="center"/>
    </xf>
    <xf numFmtId="49" fontId="0" fillId="2" borderId="52" xfId="0" applyNumberFormat="1" applyFont="1" applyFill="1" applyBorder="1" applyAlignment="1" applyProtection="1">
      <alignment vertical="center"/>
    </xf>
    <xf numFmtId="0" fontId="13" fillId="2" borderId="50" xfId="0" applyFont="1" applyFill="1" applyBorder="1" applyAlignment="1" applyProtection="1">
      <alignment horizontal="center" vertical="center"/>
    </xf>
    <xf numFmtId="0" fontId="0" fillId="2" borderId="158" xfId="0" applyFont="1" applyFill="1" applyBorder="1" applyAlignment="1" applyProtection="1">
      <alignment vertical="center"/>
    </xf>
    <xf numFmtId="0" fontId="13" fillId="2" borderId="76" xfId="0" applyFont="1" applyFill="1" applyBorder="1" applyAlignment="1" applyProtection="1">
      <alignment horizontal="center" vertical="center"/>
    </xf>
    <xf numFmtId="0" fontId="13" fillId="2" borderId="73" xfId="0" applyFont="1" applyFill="1" applyBorder="1" applyAlignment="1" applyProtection="1">
      <alignment horizontal="center" vertical="center"/>
    </xf>
    <xf numFmtId="0" fontId="0" fillId="2" borderId="52" xfId="0" applyFont="1" applyFill="1" applyBorder="1" applyAlignment="1" applyProtection="1">
      <alignment horizontal="center" vertical="center"/>
    </xf>
    <xf numFmtId="0" fontId="0" fillId="2" borderId="319" xfId="0" applyFont="1" applyFill="1" applyBorder="1" applyAlignment="1" applyProtection="1">
      <alignment vertical="center"/>
    </xf>
    <xf numFmtId="0" fontId="0" fillId="2" borderId="320" xfId="0" applyFont="1" applyFill="1" applyBorder="1" applyAlignment="1" applyProtection="1">
      <alignment horizontal="center" vertical="center"/>
    </xf>
    <xf numFmtId="0" fontId="13" fillId="2" borderId="252" xfId="0" applyFont="1" applyFill="1" applyBorder="1" applyAlignment="1" applyProtection="1">
      <alignment horizontal="center" vertical="center"/>
    </xf>
    <xf numFmtId="0" fontId="13" fillId="2" borderId="253" xfId="0" applyFont="1" applyFill="1" applyBorder="1" applyAlignment="1" applyProtection="1">
      <alignment horizontal="center" vertical="center"/>
    </xf>
    <xf numFmtId="0" fontId="13" fillId="2" borderId="254" xfId="0" applyFont="1" applyFill="1" applyBorder="1" applyAlignment="1" applyProtection="1">
      <alignment horizontal="center" vertical="center"/>
    </xf>
    <xf numFmtId="0" fontId="13" fillId="2" borderId="321" xfId="0" applyFont="1" applyFill="1" applyBorder="1" applyAlignment="1" applyProtection="1">
      <alignment vertical="center"/>
    </xf>
    <xf numFmtId="0" fontId="13" fillId="2" borderId="323" xfId="0" applyFont="1" applyFill="1" applyBorder="1" applyAlignment="1" applyProtection="1">
      <alignment horizontal="center" vertical="center"/>
    </xf>
    <xf numFmtId="175" fontId="0" fillId="2" borderId="0" xfId="0" applyNumberFormat="1" applyFont="1" applyFill="1" applyBorder="1" applyAlignment="1" applyProtection="1">
      <alignment horizontal="center" vertical="center"/>
    </xf>
    <xf numFmtId="175" fontId="0" fillId="2" borderId="73" xfId="0" applyNumberFormat="1" applyFont="1" applyFill="1" applyBorder="1" applyAlignment="1" applyProtection="1">
      <alignment horizontal="center" vertical="center"/>
    </xf>
    <xf numFmtId="0" fontId="0" fillId="2" borderId="76" xfId="0" applyFont="1" applyFill="1" applyBorder="1" applyAlignment="1" applyProtection="1">
      <alignment vertical="center"/>
    </xf>
    <xf numFmtId="0" fontId="13" fillId="2" borderId="50" xfId="0" applyFont="1" applyFill="1" applyBorder="1" applyAlignment="1" applyProtection="1">
      <alignment horizontal="left" vertical="center"/>
    </xf>
    <xf numFmtId="3" fontId="0" fillId="2" borderId="76" xfId="0" applyNumberFormat="1" applyFont="1" applyFill="1" applyBorder="1" applyAlignment="1" applyProtection="1">
      <alignment horizontal="center" vertical="center"/>
    </xf>
    <xf numFmtId="175" fontId="0" fillId="2" borderId="113" xfId="0" applyNumberFormat="1" applyFont="1" applyFill="1" applyBorder="1" applyAlignment="1" applyProtection="1">
      <alignment horizontal="center" vertical="center"/>
    </xf>
    <xf numFmtId="175" fontId="0" fillId="2" borderId="74" xfId="0" applyNumberFormat="1" applyFont="1" applyFill="1" applyBorder="1" applyAlignment="1" applyProtection="1">
      <alignment horizontal="center" vertical="center"/>
    </xf>
    <xf numFmtId="0" fontId="0" fillId="2" borderId="153" xfId="0" applyFont="1" applyFill="1" applyBorder="1" applyAlignment="1" applyProtection="1">
      <alignment vertical="center"/>
    </xf>
    <xf numFmtId="0" fontId="0" fillId="2" borderId="166" xfId="0" applyFont="1" applyFill="1" applyBorder="1" applyAlignment="1" applyProtection="1">
      <alignment vertical="center"/>
    </xf>
    <xf numFmtId="0" fontId="13" fillId="2" borderId="149" xfId="0" applyFont="1" applyFill="1" applyBorder="1" applyAlignment="1" applyProtection="1">
      <alignment horizontal="center" vertical="center"/>
    </xf>
    <xf numFmtId="0" fontId="13" fillId="2" borderId="150" xfId="0" applyFont="1" applyFill="1" applyBorder="1" applyAlignment="1" applyProtection="1">
      <alignment vertical="center"/>
    </xf>
    <xf numFmtId="0" fontId="0" fillId="0" borderId="0" xfId="0" applyFont="1" applyAlignment="1" applyProtection="1">
      <alignment horizontal="center" vertical="center"/>
    </xf>
    <xf numFmtId="0" fontId="0" fillId="2" borderId="76" xfId="0" applyNumberFormat="1" applyFont="1" applyFill="1" applyBorder="1" applyAlignment="1" applyProtection="1">
      <alignment horizontal="center" vertical="center"/>
    </xf>
    <xf numFmtId="0" fontId="0" fillId="2" borderId="76" xfId="0" applyFont="1" applyFill="1" applyBorder="1" applyAlignment="1" applyProtection="1">
      <alignment horizontal="left" vertical="center"/>
    </xf>
    <xf numFmtId="164" fontId="0" fillId="2" borderId="73" xfId="0" applyNumberFormat="1" applyFont="1" applyFill="1" applyBorder="1" applyAlignment="1" applyProtection="1">
      <alignment horizontal="center" vertical="center" shrinkToFit="1"/>
    </xf>
    <xf numFmtId="164" fontId="0" fillId="2" borderId="74" xfId="0" applyNumberFormat="1" applyFont="1" applyFill="1" applyBorder="1" applyAlignment="1" applyProtection="1">
      <alignment horizontal="center" vertical="center" shrinkToFit="1"/>
    </xf>
    <xf numFmtId="165" fontId="0" fillId="2" borderId="73" xfId="0" applyNumberFormat="1" applyFont="1" applyFill="1" applyBorder="1" applyAlignment="1" applyProtection="1">
      <alignment horizontal="center" vertical="center" shrinkToFit="1"/>
    </xf>
    <xf numFmtId="165" fontId="0" fillId="2" borderId="74" xfId="0" applyNumberFormat="1" applyFont="1" applyFill="1" applyBorder="1" applyAlignment="1" applyProtection="1">
      <alignment horizontal="center" vertical="center" shrinkToFit="1"/>
    </xf>
    <xf numFmtId="3" fontId="0" fillId="2" borderId="77" xfId="0" applyNumberFormat="1" applyFont="1" applyFill="1" applyBorder="1" applyAlignment="1" applyProtection="1">
      <alignment horizontal="center" vertical="center"/>
    </xf>
    <xf numFmtId="0" fontId="13" fillId="2" borderId="147" xfId="0" applyFont="1" applyFill="1" applyBorder="1" applyAlignment="1" applyProtection="1">
      <alignment vertical="center"/>
    </xf>
    <xf numFmtId="0" fontId="0" fillId="2" borderId="166" xfId="0" applyFont="1" applyFill="1" applyBorder="1" applyAlignment="1" applyProtection="1">
      <alignment horizontal="center" vertical="center" shrinkToFit="1"/>
    </xf>
    <xf numFmtId="0" fontId="0" fillId="14" borderId="73" xfId="0" applyFont="1" applyFill="1" applyBorder="1" applyAlignment="1" applyProtection="1">
      <alignment vertical="center"/>
    </xf>
    <xf numFmtId="0" fontId="13" fillId="2" borderId="147" xfId="0" applyFont="1" applyFill="1" applyBorder="1" applyAlignment="1" applyProtection="1">
      <alignment horizontal="center" vertical="center"/>
    </xf>
    <xf numFmtId="0" fontId="13" fillId="2" borderId="148" xfId="0" applyFont="1" applyFill="1" applyBorder="1" applyAlignment="1" applyProtection="1">
      <alignment vertical="center"/>
    </xf>
    <xf numFmtId="0" fontId="13" fillId="2" borderId="230" xfId="0" applyFont="1" applyFill="1" applyBorder="1" applyAlignment="1" applyProtection="1">
      <alignment horizontal="center" vertical="center"/>
    </xf>
    <xf numFmtId="0" fontId="13" fillId="2" borderId="231" xfId="0" applyFont="1" applyFill="1" applyBorder="1" applyAlignment="1" applyProtection="1">
      <alignment horizontal="center" vertical="center"/>
    </xf>
    <xf numFmtId="0" fontId="13" fillId="2" borderId="319" xfId="0" applyFont="1" applyFill="1" applyBorder="1" applyAlignment="1" applyProtection="1">
      <alignment vertical="center"/>
    </xf>
    <xf numFmtId="0" fontId="0" fillId="0" borderId="146" xfId="0" applyFont="1" applyFill="1" applyBorder="1" applyAlignment="1" applyProtection="1">
      <alignment horizontal="center" vertical="center"/>
    </xf>
    <xf numFmtId="0" fontId="0" fillId="2" borderId="146" xfId="0" applyFont="1" applyFill="1" applyBorder="1" applyAlignment="1" applyProtection="1">
      <alignment vertical="center"/>
    </xf>
    <xf numFmtId="0" fontId="13" fillId="2" borderId="238" xfId="0" applyFont="1" applyFill="1" applyBorder="1" applyAlignment="1" applyProtection="1">
      <alignment horizontal="center" vertical="center"/>
    </xf>
    <xf numFmtId="0" fontId="13" fillId="2" borderId="239" xfId="0" applyFont="1" applyFill="1" applyBorder="1" applyAlignment="1" applyProtection="1">
      <alignment horizontal="center" vertical="center"/>
    </xf>
    <xf numFmtId="0" fontId="13" fillId="2" borderId="240"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113" xfId="0" applyFont="1" applyFill="1" applyBorder="1" applyAlignment="1" applyProtection="1">
      <alignment horizontal="center" vertical="center"/>
    </xf>
    <xf numFmtId="0" fontId="13" fillId="2" borderId="322" xfId="0" applyFont="1" applyFill="1" applyBorder="1" applyAlignment="1" applyProtection="1">
      <alignment horizontal="center" vertical="center"/>
    </xf>
    <xf numFmtId="0" fontId="13" fillId="2" borderId="156" xfId="0" applyFont="1" applyFill="1" applyBorder="1" applyAlignment="1" applyProtection="1">
      <alignment vertical="center"/>
    </xf>
    <xf numFmtId="0" fontId="13" fillId="2" borderId="157" xfId="0" applyFont="1" applyFill="1" applyBorder="1" applyAlignment="1" applyProtection="1">
      <alignment vertical="center"/>
    </xf>
    <xf numFmtId="0" fontId="13" fillId="2" borderId="288" xfId="0" applyFont="1" applyFill="1" applyBorder="1" applyAlignment="1" applyProtection="1">
      <alignment horizontal="center" vertical="center"/>
    </xf>
    <xf numFmtId="0" fontId="13" fillId="2" borderId="75" xfId="0" applyFont="1" applyFill="1" applyBorder="1" applyAlignment="1" applyProtection="1">
      <alignment vertical="center"/>
    </xf>
    <xf numFmtId="0" fontId="13" fillId="2" borderId="72" xfId="0" applyFont="1" applyFill="1" applyBorder="1" applyAlignment="1" applyProtection="1">
      <alignment horizontal="center" vertical="center"/>
    </xf>
    <xf numFmtId="0" fontId="0" fillId="21" borderId="76" xfId="0" applyFont="1" applyFill="1" applyBorder="1" applyAlignment="1" applyProtection="1">
      <alignment vertical="center"/>
    </xf>
    <xf numFmtId="0" fontId="16" fillId="18" borderId="73" xfId="0" applyFont="1" applyFill="1" applyBorder="1" applyAlignment="1" applyProtection="1">
      <alignment vertical="center"/>
    </xf>
    <xf numFmtId="0" fontId="16" fillId="21" borderId="73" xfId="0" applyFont="1" applyFill="1" applyBorder="1" applyAlignment="1" applyProtection="1">
      <alignment vertical="center"/>
    </xf>
    <xf numFmtId="0" fontId="16" fillId="14" borderId="73" xfId="0" applyFont="1" applyFill="1" applyBorder="1" applyAlignment="1" applyProtection="1">
      <alignment vertical="center"/>
    </xf>
    <xf numFmtId="0" fontId="16" fillId="2" borderId="73" xfId="0" applyFont="1" applyFill="1" applyBorder="1" applyAlignment="1" applyProtection="1">
      <alignment vertical="center"/>
    </xf>
    <xf numFmtId="0" fontId="0" fillId="21" borderId="77" xfId="0" applyFont="1" applyFill="1" applyBorder="1" applyAlignment="1" applyProtection="1">
      <alignment vertical="center"/>
    </xf>
    <xf numFmtId="0" fontId="0" fillId="2" borderId="162" xfId="0" applyFont="1" applyFill="1" applyBorder="1" applyAlignment="1" applyProtection="1">
      <alignment vertical="center"/>
    </xf>
    <xf numFmtId="0" fontId="0" fillId="0" borderId="0" xfId="0" applyAlignment="1" applyProtection="1">
      <alignment horizontal="center" vertical="center"/>
    </xf>
    <xf numFmtId="0" fontId="0" fillId="0" borderId="0" xfId="0" applyFill="1" applyAlignment="1" applyProtection="1">
      <alignment vertical="center"/>
    </xf>
    <xf numFmtId="0" fontId="0" fillId="0" borderId="0" xfId="0" applyFill="1" applyAlignment="1" applyProtection="1">
      <alignment horizontal="center" vertical="center"/>
    </xf>
    <xf numFmtId="0" fontId="13" fillId="2" borderId="153" xfId="0" applyFont="1" applyFill="1" applyBorder="1" applyAlignment="1" applyProtection="1">
      <alignment vertical="center"/>
    </xf>
    <xf numFmtId="0" fontId="0" fillId="15" borderId="73" xfId="0" applyFont="1" applyFill="1" applyBorder="1" applyAlignment="1" applyProtection="1">
      <alignment vertical="center"/>
    </xf>
    <xf numFmtId="0" fontId="17" fillId="19" borderId="73" xfId="0" applyFont="1" applyFill="1" applyBorder="1" applyAlignment="1" applyProtection="1">
      <alignment vertical="center"/>
    </xf>
    <xf numFmtId="0" fontId="13" fillId="2" borderId="158" xfId="0" applyFont="1" applyFill="1" applyBorder="1" applyAlignment="1" applyProtection="1">
      <alignment vertical="center"/>
    </xf>
    <xf numFmtId="0" fontId="0" fillId="8" borderId="73" xfId="0" applyFont="1" applyFill="1" applyBorder="1" applyAlignment="1" applyProtection="1">
      <alignment vertical="center"/>
    </xf>
    <xf numFmtId="172" fontId="0" fillId="21" borderId="73" xfId="0" applyNumberFormat="1" applyFont="1" applyFill="1" applyBorder="1" applyAlignment="1" applyProtection="1">
      <alignment horizontal="center" vertical="center"/>
    </xf>
    <xf numFmtId="0" fontId="16" fillId="12" borderId="74" xfId="0" applyFont="1" applyFill="1" applyBorder="1" applyAlignment="1" applyProtection="1">
      <alignment vertical="center"/>
    </xf>
    <xf numFmtId="0" fontId="13" fillId="2" borderId="77" xfId="0" applyFont="1" applyFill="1" applyBorder="1" applyAlignment="1" applyProtection="1">
      <alignment vertical="center"/>
    </xf>
    <xf numFmtId="0" fontId="13" fillId="3" borderId="74" xfId="0" applyFont="1" applyFill="1" applyBorder="1" applyAlignment="1" applyProtection="1">
      <alignment horizontal="center" vertical="center"/>
    </xf>
    <xf numFmtId="0" fontId="23" fillId="0" borderId="160" xfId="0" applyFont="1" applyFill="1" applyBorder="1" applyAlignment="1" applyProtection="1">
      <alignment vertical="center"/>
    </xf>
    <xf numFmtId="0" fontId="13" fillId="2" borderId="322" xfId="0" applyFont="1" applyFill="1" applyBorder="1" applyAlignment="1" applyProtection="1">
      <alignment vertical="center"/>
    </xf>
    <xf numFmtId="0" fontId="0" fillId="2" borderId="322" xfId="0" applyFill="1" applyBorder="1" applyAlignment="1" applyProtection="1">
      <alignment vertical="center"/>
    </xf>
    <xf numFmtId="0" fontId="0" fillId="2" borderId="323" xfId="0" applyFill="1" applyBorder="1" applyAlignment="1" applyProtection="1">
      <alignment vertical="center"/>
    </xf>
    <xf numFmtId="0" fontId="13" fillId="2" borderId="230" xfId="0" applyFont="1" applyFill="1" applyBorder="1" applyAlignment="1" applyProtection="1">
      <alignment vertical="center"/>
    </xf>
    <xf numFmtId="0" fontId="13" fillId="2" borderId="231" xfId="0" applyFont="1" applyFill="1" applyBorder="1" applyAlignment="1" applyProtection="1">
      <alignment vertical="center"/>
    </xf>
    <xf numFmtId="0" fontId="0" fillId="21" borderId="76" xfId="0" applyFill="1" applyBorder="1" applyAlignment="1" applyProtection="1">
      <alignment vertical="center"/>
    </xf>
    <xf numFmtId="0" fontId="0" fillId="21" borderId="0" xfId="0" applyFill="1" applyBorder="1" applyAlignment="1" applyProtection="1">
      <alignment horizontal="left" vertical="center"/>
    </xf>
    <xf numFmtId="0" fontId="0" fillId="21" borderId="0" xfId="0" applyFill="1" applyBorder="1" applyAlignment="1" applyProtection="1">
      <alignment vertical="center"/>
    </xf>
    <xf numFmtId="0" fontId="0" fillId="21" borderId="0" xfId="0" applyFill="1" applyBorder="1" applyAlignment="1" applyProtection="1">
      <alignment horizontal="center" vertical="center"/>
    </xf>
    <xf numFmtId="0" fontId="0" fillId="21" borderId="73" xfId="0" applyFill="1" applyBorder="1" applyAlignment="1" applyProtection="1">
      <alignment vertical="center"/>
    </xf>
    <xf numFmtId="0" fontId="0" fillId="2" borderId="76" xfId="0" applyFill="1" applyBorder="1" applyAlignment="1" applyProtection="1">
      <alignment vertical="center"/>
    </xf>
    <xf numFmtId="0" fontId="0" fillId="2" borderId="0" xfId="0" applyFill="1" applyBorder="1" applyAlignment="1" applyProtection="1">
      <alignment horizontal="left" vertical="center"/>
    </xf>
    <xf numFmtId="0" fontId="0" fillId="2" borderId="0" xfId="0" applyFill="1" applyBorder="1" applyAlignment="1" applyProtection="1">
      <alignment vertical="center"/>
    </xf>
    <xf numFmtId="0" fontId="0" fillId="2" borderId="73" xfId="0" applyFill="1" applyBorder="1" applyAlignment="1" applyProtection="1">
      <alignment vertical="center"/>
    </xf>
    <xf numFmtId="0" fontId="16" fillId="18" borderId="74" xfId="0" applyFont="1" applyFill="1" applyBorder="1" applyAlignment="1" applyProtection="1">
      <alignment vertical="center"/>
    </xf>
    <xf numFmtId="0" fontId="13" fillId="2" borderId="0" xfId="0" applyFont="1" applyFill="1" applyBorder="1" applyAlignment="1" applyProtection="1">
      <alignment vertical="center"/>
    </xf>
    <xf numFmtId="0" fontId="13" fillId="2" borderId="73" xfId="0" applyFont="1" applyFill="1" applyBorder="1" applyAlignment="1" applyProtection="1">
      <alignment vertical="center"/>
    </xf>
    <xf numFmtId="0" fontId="0" fillId="2" borderId="77" xfId="0" applyFill="1" applyBorder="1" applyAlignment="1" applyProtection="1">
      <alignment vertical="center"/>
    </xf>
    <xf numFmtId="0" fontId="0" fillId="2" borderId="113" xfId="0" applyFill="1" applyBorder="1" applyAlignment="1" applyProtection="1">
      <alignment horizontal="left" vertical="center"/>
    </xf>
    <xf numFmtId="0" fontId="0" fillId="2" borderId="113" xfId="0" applyFill="1" applyBorder="1" applyAlignment="1" applyProtection="1">
      <alignment vertical="center"/>
    </xf>
    <xf numFmtId="0" fontId="0" fillId="2" borderId="74" xfId="0" applyFill="1" applyBorder="1" applyAlignment="1" applyProtection="1">
      <alignment vertical="center"/>
    </xf>
    <xf numFmtId="0" fontId="0" fillId="0" borderId="0" xfId="0" applyFill="1" applyBorder="1" applyAlignment="1" applyProtection="1">
      <alignment vertical="center"/>
    </xf>
    <xf numFmtId="0" fontId="25" fillId="9" borderId="337" xfId="0" applyFont="1" applyFill="1" applyBorder="1" applyAlignment="1" applyProtection="1">
      <alignment horizontal="left"/>
    </xf>
    <xf numFmtId="0" fontId="0" fillId="9" borderId="338" xfId="0" applyFill="1" applyBorder="1" applyProtection="1"/>
    <xf numFmtId="0" fontId="0" fillId="9" borderId="339" xfId="0" applyFill="1" applyBorder="1" applyProtection="1"/>
    <xf numFmtId="0" fontId="0" fillId="0" borderId="0" xfId="0" applyProtection="1"/>
    <xf numFmtId="0" fontId="0" fillId="9" borderId="80" xfId="0" applyFill="1" applyBorder="1" applyProtection="1"/>
    <xf numFmtId="0" fontId="0" fillId="9" borderId="0" xfId="0" applyFill="1" applyBorder="1" applyProtection="1"/>
    <xf numFmtId="0" fontId="0" fillId="9" borderId="81" xfId="0" applyFill="1" applyBorder="1" applyProtection="1"/>
    <xf numFmtId="0" fontId="0" fillId="9" borderId="82" xfId="0" applyFill="1" applyBorder="1" applyProtection="1"/>
    <xf numFmtId="0" fontId="0" fillId="9" borderId="83" xfId="0" applyFill="1" applyBorder="1" applyProtection="1"/>
    <xf numFmtId="0" fontId="0" fillId="0" borderId="0" xfId="0" applyFill="1" applyBorder="1" applyProtection="1"/>
    <xf numFmtId="0" fontId="2" fillId="0" borderId="0" xfId="0" applyFont="1" applyAlignment="1" applyProtection="1">
      <alignment vertical="center" shrinkToFit="1"/>
    </xf>
    <xf numFmtId="0" fontId="2" fillId="0" borderId="0" xfId="0" applyFont="1" applyFill="1" applyAlignment="1" applyProtection="1">
      <alignment vertical="center" shrinkToFit="1"/>
    </xf>
    <xf numFmtId="0" fontId="8" fillId="0" borderId="0" xfId="0" applyFont="1" applyFill="1" applyAlignment="1" applyProtection="1">
      <alignment vertical="center" shrinkToFit="1"/>
    </xf>
    <xf numFmtId="0" fontId="4" fillId="0" borderId="211" xfId="0" applyFont="1" applyFill="1" applyBorder="1" applyAlignment="1" applyProtection="1">
      <alignment vertical="center" shrinkToFit="1"/>
    </xf>
    <xf numFmtId="0" fontId="8" fillId="0" borderId="211" xfId="0" applyFont="1" applyFill="1" applyBorder="1" applyAlignment="1" applyProtection="1">
      <alignment vertical="center" shrinkToFit="1"/>
    </xf>
    <xf numFmtId="0" fontId="15" fillId="13" borderId="93" xfId="0" applyFont="1" applyFill="1" applyBorder="1" applyAlignment="1">
      <alignment horizontal="center" vertical="center"/>
    </xf>
    <xf numFmtId="0" fontId="5" fillId="21" borderId="213" xfId="0" applyFont="1" applyFill="1" applyBorder="1" applyAlignment="1" applyProtection="1">
      <alignment vertical="center"/>
    </xf>
    <xf numFmtId="0" fontId="13" fillId="2" borderId="388" xfId="0" applyFont="1" applyFill="1" applyBorder="1" applyAlignment="1" applyProtection="1">
      <alignment vertical="center"/>
    </xf>
    <xf numFmtId="0" fontId="0" fillId="2" borderId="389" xfId="0" applyFont="1" applyFill="1" applyBorder="1" applyAlignment="1" applyProtection="1">
      <alignment vertical="center"/>
    </xf>
    <xf numFmtId="0" fontId="0" fillId="2" borderId="390" xfId="0" applyFill="1" applyBorder="1" applyAlignment="1" applyProtection="1">
      <alignment vertical="center"/>
    </xf>
    <xf numFmtId="0" fontId="13" fillId="21" borderId="76" xfId="0" applyFont="1" applyFill="1" applyBorder="1" applyAlignment="1" applyProtection="1">
      <alignment vertical="center"/>
    </xf>
    <xf numFmtId="0" fontId="0" fillId="21" borderId="0" xfId="0" applyFont="1" applyFill="1" applyBorder="1" applyAlignment="1" applyProtection="1">
      <alignment vertical="center"/>
    </xf>
    <xf numFmtId="0" fontId="16" fillId="21" borderId="0" xfId="0"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vertical="center"/>
    </xf>
    <xf numFmtId="0" fontId="16" fillId="21" borderId="0" xfId="0" applyFont="1" applyFill="1" applyBorder="1" applyAlignment="1" applyProtection="1">
      <alignment vertical="center"/>
    </xf>
    <xf numFmtId="0" fontId="0" fillId="21" borderId="77" xfId="0" applyFill="1" applyBorder="1" applyAlignment="1" applyProtection="1">
      <alignment vertical="center"/>
    </xf>
    <xf numFmtId="0" fontId="0" fillId="21" borderId="113" xfId="0" applyFont="1" applyFill="1" applyBorder="1" applyAlignment="1" applyProtection="1">
      <alignment vertical="center"/>
    </xf>
    <xf numFmtId="0" fontId="0" fillId="21" borderId="74" xfId="0" applyFill="1" applyBorder="1" applyAlignment="1" applyProtection="1">
      <alignment vertical="center"/>
    </xf>
    <xf numFmtId="0" fontId="4" fillId="0" borderId="0" xfId="0" applyFont="1" applyFill="1" applyAlignment="1" applyProtection="1">
      <alignment vertical="center" shrinkToFit="1"/>
    </xf>
    <xf numFmtId="0" fontId="16" fillId="16" borderId="395" xfId="1" applyFont="1" applyFill="1" applyBorder="1"/>
    <xf numFmtId="0" fontId="16" fillId="16" borderId="396" xfId="1" applyFont="1" applyFill="1" applyBorder="1" applyAlignment="1">
      <alignment vertical="center" wrapText="1"/>
    </xf>
    <xf numFmtId="0" fontId="16" fillId="16" borderId="396" xfId="1" applyNumberFormat="1" applyFont="1" applyFill="1" applyBorder="1" applyAlignment="1">
      <alignment horizontal="center" vertical="center" wrapText="1"/>
    </xf>
    <xf numFmtId="0" fontId="16" fillId="16" borderId="396" xfId="1" applyNumberFormat="1" applyFont="1" applyFill="1" applyBorder="1" applyAlignment="1">
      <alignment horizontal="center"/>
    </xf>
    <xf numFmtId="0" fontId="16" fillId="16" borderId="396" xfId="1" applyFont="1" applyFill="1" applyBorder="1" applyAlignment="1">
      <alignment horizontal="center"/>
    </xf>
    <xf numFmtId="49" fontId="16" fillId="16" borderId="396" xfId="1" applyNumberFormat="1" applyFont="1" applyFill="1" applyBorder="1" applyAlignment="1">
      <alignment horizontal="center"/>
    </xf>
    <xf numFmtId="49" fontId="16" fillId="16" borderId="397" xfId="1" applyNumberFormat="1" applyFont="1" applyFill="1" applyBorder="1" applyAlignment="1">
      <alignment horizontal="center"/>
    </xf>
    <xf numFmtId="49" fontId="16" fillId="16" borderId="398" xfId="1" applyNumberFormat="1" applyFont="1" applyFill="1" applyBorder="1" applyAlignment="1">
      <alignment horizontal="center"/>
    </xf>
    <xf numFmtId="0" fontId="0" fillId="16" borderId="396" xfId="1" applyFont="1" applyFill="1" applyBorder="1" applyAlignment="1">
      <alignment horizontal="center"/>
    </xf>
    <xf numFmtId="0" fontId="31" fillId="0" borderId="0" xfId="0" applyFont="1" applyAlignment="1" applyProtection="1">
      <alignment vertical="center"/>
    </xf>
    <xf numFmtId="0" fontId="4" fillId="0" borderId="0" xfId="0" applyFont="1" applyAlignment="1" applyProtection="1">
      <alignment horizontal="center" vertical="center" shrinkToFit="1"/>
    </xf>
    <xf numFmtId="0" fontId="13" fillId="2" borderId="399" xfId="0" applyFont="1" applyFill="1" applyBorder="1" applyAlignment="1" applyProtection="1">
      <alignment vertical="center"/>
    </xf>
    <xf numFmtId="0" fontId="13" fillId="2" borderId="399" xfId="0" applyFont="1" applyFill="1" applyBorder="1" applyAlignment="1" applyProtection="1">
      <alignment horizontal="center" vertical="center"/>
    </xf>
    <xf numFmtId="0" fontId="13" fillId="2" borderId="399" xfId="0" applyFont="1" applyFill="1" applyBorder="1" applyAlignment="1" applyProtection="1">
      <alignment horizontal="left" vertical="center"/>
    </xf>
    <xf numFmtId="0" fontId="13" fillId="2" borderId="157" xfId="0" applyFont="1" applyFill="1" applyBorder="1" applyAlignment="1" applyProtection="1">
      <alignment horizontal="left" vertical="center"/>
    </xf>
    <xf numFmtId="0" fontId="0" fillId="2" borderId="73" xfId="0" applyFont="1" applyFill="1" applyBorder="1" applyAlignment="1" applyProtection="1">
      <alignment horizontal="left" vertical="center"/>
    </xf>
    <xf numFmtId="0" fontId="0" fillId="2" borderId="74" xfId="0" applyFont="1" applyFill="1" applyBorder="1" applyAlignment="1" applyProtection="1">
      <alignment horizontal="left" vertical="center"/>
    </xf>
    <xf numFmtId="0" fontId="0" fillId="21" borderId="52" xfId="0" applyFont="1" applyFill="1" applyBorder="1" applyAlignment="1" applyProtection="1">
      <alignment vertical="center"/>
    </xf>
    <xf numFmtId="0" fontId="0" fillId="21" borderId="52" xfId="0" applyFont="1" applyFill="1" applyBorder="1" applyAlignment="1" applyProtection="1">
      <alignment horizontal="center" vertical="center"/>
    </xf>
    <xf numFmtId="0" fontId="0" fillId="21" borderId="52" xfId="0" applyFont="1" applyFill="1" applyBorder="1" applyAlignment="1" applyProtection="1">
      <alignment horizontal="left" vertical="center"/>
    </xf>
    <xf numFmtId="0" fontId="17" fillId="20" borderId="73" xfId="0" applyFont="1" applyFill="1" applyBorder="1" applyAlignment="1" applyProtection="1">
      <alignment vertical="center"/>
    </xf>
    <xf numFmtId="0" fontId="0" fillId="0" borderId="146" xfId="0" applyFont="1" applyBorder="1" applyAlignment="1" applyProtection="1">
      <alignment horizontal="center" vertical="center"/>
      <protection locked="0"/>
    </xf>
    <xf numFmtId="0" fontId="0" fillId="0" borderId="158" xfId="0" applyFont="1" applyFill="1" applyBorder="1" applyAlignment="1" applyProtection="1">
      <alignment horizontal="left" vertical="center"/>
      <protection locked="0"/>
    </xf>
    <xf numFmtId="173" fontId="0" fillId="2" borderId="320" xfId="0" applyNumberFormat="1" applyFont="1" applyFill="1" applyBorder="1" applyAlignment="1" applyProtection="1">
      <alignment horizontal="center" vertical="center"/>
    </xf>
    <xf numFmtId="0" fontId="15" fillId="13" borderId="93" xfId="0" applyFont="1" applyFill="1" applyBorder="1" applyAlignment="1">
      <alignment horizontal="left" vertical="center" shrinkToFit="1"/>
    </xf>
    <xf numFmtId="0" fontId="0" fillId="0" borderId="0" xfId="0" applyFont="1" applyAlignment="1">
      <alignment vertical="top" shrinkToFit="1"/>
    </xf>
    <xf numFmtId="0" fontId="0" fillId="0" borderId="368" xfId="0" applyFont="1" applyBorder="1" applyAlignment="1">
      <alignment horizontal="center" vertical="center"/>
    </xf>
    <xf numFmtId="0" fontId="16" fillId="0" borderId="368" xfId="0" applyFont="1" applyFill="1" applyBorder="1" applyAlignment="1">
      <alignment vertical="center" shrinkToFit="1"/>
    </xf>
    <xf numFmtId="0" fontId="15" fillId="13" borderId="86" xfId="0" applyFont="1" applyFill="1" applyBorder="1" applyAlignment="1">
      <alignment horizontal="left" vertical="center"/>
    </xf>
    <xf numFmtId="0" fontId="0" fillId="0" borderId="0" xfId="0" applyFont="1" applyAlignment="1">
      <alignment horizontal="left" vertical="top"/>
    </xf>
    <xf numFmtId="0" fontId="16" fillId="0" borderId="368" xfId="0" applyFont="1" applyBorder="1" applyAlignment="1">
      <alignment horizontal="center" vertical="center"/>
    </xf>
    <xf numFmtId="0" fontId="16" fillId="0" borderId="368" xfId="0" applyNumberFormat="1" applyFont="1" applyBorder="1" applyAlignment="1">
      <alignment horizontal="center" vertical="center"/>
    </xf>
    <xf numFmtId="0" fontId="16" fillId="0" borderId="368" xfId="0" applyFont="1" applyBorder="1" applyAlignment="1">
      <alignment horizontal="left" vertical="center"/>
    </xf>
    <xf numFmtId="0" fontId="16" fillId="0" borderId="368" xfId="0" applyFont="1" applyBorder="1" applyAlignment="1">
      <alignment vertical="center"/>
    </xf>
    <xf numFmtId="0" fontId="24" fillId="0" borderId="0" xfId="0" applyFont="1" applyAlignment="1" applyProtection="1">
      <alignment vertical="center"/>
    </xf>
    <xf numFmtId="0" fontId="16" fillId="0" borderId="368" xfId="0" applyFont="1" applyFill="1" applyBorder="1" applyAlignment="1">
      <alignment horizontal="left" vertical="center"/>
    </xf>
    <xf numFmtId="0" fontId="16" fillId="0" borderId="406" xfId="0" applyFont="1" applyBorder="1" applyAlignment="1">
      <alignment vertical="center"/>
    </xf>
    <xf numFmtId="0" fontId="0" fillId="0" borderId="0" xfId="0" applyFont="1" applyBorder="1" applyAlignment="1">
      <alignment vertical="top"/>
    </xf>
    <xf numFmtId="0" fontId="16" fillId="0" borderId="316" xfId="0" applyFont="1" applyBorder="1" applyAlignment="1">
      <alignment vertical="center"/>
    </xf>
    <xf numFmtId="0" fontId="16" fillId="0" borderId="209" xfId="0" applyFont="1" applyBorder="1" applyAlignment="1">
      <alignment horizontal="center" vertical="center"/>
    </xf>
    <xf numFmtId="0" fontId="16" fillId="0" borderId="209" xfId="0" applyNumberFormat="1" applyFont="1" applyFill="1" applyBorder="1" applyAlignment="1">
      <alignment horizontal="center" vertical="center"/>
    </xf>
    <xf numFmtId="0" fontId="16" fillId="0" borderId="209" xfId="0" applyFont="1" applyFill="1" applyBorder="1" applyAlignment="1">
      <alignment horizontal="center" vertical="center"/>
    </xf>
    <xf numFmtId="0" fontId="16" fillId="0" borderId="209" xfId="0" applyFont="1" applyBorder="1" applyAlignment="1">
      <alignment horizontal="left" vertical="center"/>
    </xf>
    <xf numFmtId="0" fontId="16" fillId="0" borderId="209" xfId="0" applyFont="1" applyFill="1" applyBorder="1" applyAlignment="1">
      <alignment horizontal="left" vertical="center"/>
    </xf>
    <xf numFmtId="0" fontId="16" fillId="0" borderId="209" xfId="0" applyNumberFormat="1" applyFont="1" applyBorder="1" applyAlignment="1">
      <alignment horizontal="left" vertical="center" shrinkToFit="1"/>
    </xf>
    <xf numFmtId="0" fontId="0" fillId="0" borderId="209" xfId="0" applyFont="1" applyBorder="1" applyAlignment="1">
      <alignment horizontal="center" vertical="center"/>
    </xf>
    <xf numFmtId="0" fontId="16" fillId="0" borderId="368" xfId="0" applyNumberFormat="1" applyFont="1" applyFill="1" applyBorder="1" applyAlignment="1">
      <alignment horizontal="center" vertical="center"/>
    </xf>
    <xf numFmtId="0" fontId="16" fillId="0" borderId="368" xfId="0" applyFont="1" applyFill="1" applyBorder="1" applyAlignment="1">
      <alignment horizontal="center" vertical="center"/>
    </xf>
    <xf numFmtId="0" fontId="16" fillId="0" borderId="368" xfId="0" applyNumberFormat="1" applyFont="1" applyBorder="1" applyAlignment="1">
      <alignment horizontal="left" vertical="center" shrinkToFit="1"/>
    </xf>
    <xf numFmtId="0" fontId="16" fillId="0" borderId="406" xfId="0" applyFont="1" applyFill="1" applyBorder="1" applyAlignment="1">
      <alignment vertical="center" wrapText="1"/>
    </xf>
    <xf numFmtId="0" fontId="16" fillId="0" borderId="368" xfId="0" applyFont="1" applyFill="1" applyBorder="1" applyAlignment="1">
      <alignment horizontal="left" vertical="center" shrinkToFit="1"/>
    </xf>
    <xf numFmtId="0" fontId="16" fillId="0" borderId="406" xfId="0" applyFont="1" applyFill="1" applyBorder="1" applyAlignment="1">
      <alignment vertical="center"/>
    </xf>
    <xf numFmtId="0" fontId="16" fillId="0" borderId="368" xfId="0" applyNumberFormat="1" applyFont="1" applyFill="1" applyBorder="1" applyAlignment="1">
      <alignment horizontal="left" vertical="center" shrinkToFit="1"/>
    </xf>
    <xf numFmtId="0" fontId="16" fillId="0" borderId="368" xfId="0" applyFont="1" applyBorder="1" applyAlignment="1">
      <alignment horizontal="left" vertical="center" shrinkToFit="1"/>
    </xf>
    <xf numFmtId="49" fontId="16" fillId="0" borderId="368" xfId="0" applyNumberFormat="1" applyFont="1" applyFill="1" applyBorder="1" applyAlignment="1">
      <alignment horizontal="center" vertical="center"/>
    </xf>
    <xf numFmtId="0" fontId="16" fillId="0" borderId="368" xfId="0" applyFont="1" applyFill="1" applyBorder="1" applyAlignment="1">
      <alignment vertical="center"/>
    </xf>
    <xf numFmtId="0" fontId="16" fillId="0" borderId="407" xfId="0" applyFont="1" applyBorder="1" applyAlignment="1">
      <alignment vertical="center"/>
    </xf>
    <xf numFmtId="0" fontId="16" fillId="0" borderId="408" xfId="0" applyFont="1" applyBorder="1" applyAlignment="1">
      <alignment horizontal="center" vertical="center"/>
    </xf>
    <xf numFmtId="0" fontId="16" fillId="0" borderId="408" xfId="0" applyNumberFormat="1" applyFont="1" applyBorder="1" applyAlignment="1">
      <alignment horizontal="center" vertical="center"/>
    </xf>
    <xf numFmtId="0" fontId="16" fillId="0" borderId="408" xfId="0" applyFont="1" applyBorder="1" applyAlignment="1">
      <alignment horizontal="left" vertical="center"/>
    </xf>
    <xf numFmtId="0" fontId="16" fillId="0" borderId="408" xfId="0" applyFont="1" applyBorder="1" applyAlignment="1">
      <alignment vertical="center"/>
    </xf>
    <xf numFmtId="0" fontId="0" fillId="0" borderId="408" xfId="0" applyFont="1" applyBorder="1" applyAlignment="1">
      <alignment horizontal="center" vertical="center"/>
    </xf>
    <xf numFmtId="0" fontId="16" fillId="0" borderId="408" xfId="0" applyFont="1" applyFill="1" applyBorder="1" applyAlignment="1">
      <alignment vertical="center" shrinkToFit="1"/>
    </xf>
    <xf numFmtId="0" fontId="0" fillId="0" borderId="368" xfId="0" applyFont="1" applyBorder="1" applyAlignment="1">
      <alignment horizontal="left" vertical="center"/>
    </xf>
    <xf numFmtId="0" fontId="0" fillId="0" borderId="408" xfId="0" applyFont="1" applyBorder="1" applyAlignment="1">
      <alignment horizontal="left" vertical="center"/>
    </xf>
    <xf numFmtId="0" fontId="16" fillId="0" borderId="409" xfId="0" applyFont="1" applyBorder="1" applyAlignment="1">
      <alignment horizontal="center" vertical="center"/>
    </xf>
    <xf numFmtId="0" fontId="16" fillId="0" borderId="368" xfId="0" applyFont="1" applyFill="1" applyBorder="1" applyAlignment="1">
      <alignment horizontal="center" vertical="center" shrinkToFit="1"/>
    </xf>
    <xf numFmtId="0" fontId="16" fillId="0" borderId="409" xfId="0" applyFont="1" applyFill="1" applyBorder="1" applyAlignment="1">
      <alignment horizontal="center" vertical="center"/>
    </xf>
    <xf numFmtId="0" fontId="16" fillId="0" borderId="408" xfId="0" applyNumberFormat="1" applyFont="1" applyFill="1" applyBorder="1" applyAlignment="1">
      <alignment horizontal="center" vertical="center"/>
    </xf>
    <xf numFmtId="0" fontId="16" fillId="0" borderId="408" xfId="0" applyFont="1" applyFill="1" applyBorder="1" applyAlignment="1">
      <alignment horizontal="center" vertical="center"/>
    </xf>
    <xf numFmtId="0" fontId="16" fillId="0" borderId="408" xfId="0" applyFont="1" applyFill="1" applyBorder="1" applyAlignment="1">
      <alignment horizontal="left" vertical="center"/>
    </xf>
    <xf numFmtId="0" fontId="16" fillId="8" borderId="413" xfId="1" applyFont="1" applyFill="1" applyBorder="1"/>
    <xf numFmtId="0" fontId="0" fillId="8" borderId="49" xfId="1" applyFont="1" applyFill="1" applyBorder="1" applyAlignment="1">
      <alignment horizontal="center"/>
    </xf>
    <xf numFmtId="0" fontId="13" fillId="2" borderId="415" xfId="0" applyFont="1" applyFill="1" applyBorder="1" applyAlignment="1" applyProtection="1">
      <alignment horizontal="center" vertical="center"/>
    </xf>
    <xf numFmtId="0" fontId="0" fillId="2" borderId="416" xfId="0" applyFont="1" applyFill="1" applyBorder="1" applyAlignment="1" applyProtection="1">
      <alignment vertical="center"/>
    </xf>
    <xf numFmtId="0" fontId="16" fillId="0" borderId="417" xfId="0" applyFont="1" applyBorder="1" applyAlignment="1">
      <alignment vertical="center"/>
    </xf>
    <xf numFmtId="0" fontId="16" fillId="0" borderId="418" xfId="0" applyFont="1" applyBorder="1" applyAlignment="1">
      <alignment horizontal="center" vertical="center"/>
    </xf>
    <xf numFmtId="0" fontId="16" fillId="0" borderId="419" xfId="0" applyFont="1" applyBorder="1" applyAlignment="1">
      <alignment horizontal="center" vertical="center"/>
    </xf>
    <xf numFmtId="0" fontId="16" fillId="0" borderId="419" xfId="0" applyNumberFormat="1" applyFont="1" applyBorder="1" applyAlignment="1">
      <alignment horizontal="center" vertical="center"/>
    </xf>
    <xf numFmtId="0" fontId="16" fillId="0" borderId="419" xfId="0" applyFont="1" applyBorder="1" applyAlignment="1">
      <alignment horizontal="left" vertical="center"/>
    </xf>
    <xf numFmtId="0" fontId="16" fillId="0" borderId="419" xfId="0" applyFont="1" applyBorder="1" applyAlignment="1">
      <alignment vertical="center"/>
    </xf>
    <xf numFmtId="0" fontId="16" fillId="0" borderId="419" xfId="0" applyFont="1" applyFill="1" applyBorder="1" applyAlignment="1">
      <alignment vertical="center" shrinkToFit="1"/>
    </xf>
    <xf numFmtId="0" fontId="0" fillId="0" borderId="419" xfId="0" applyFont="1" applyBorder="1" applyAlignment="1">
      <alignment horizontal="center" vertical="center"/>
    </xf>
    <xf numFmtId="0" fontId="16" fillId="0" borderId="414" xfId="0" applyFont="1" applyBorder="1" applyAlignment="1">
      <alignment horizontal="left" vertical="center"/>
    </xf>
    <xf numFmtId="0" fontId="0" fillId="0" borderId="414" xfId="0" applyFont="1" applyBorder="1" applyAlignment="1">
      <alignment horizontal="center" vertical="center"/>
    </xf>
    <xf numFmtId="0" fontId="0" fillId="0" borderId="414" xfId="0" applyFont="1" applyBorder="1" applyAlignment="1">
      <alignment horizontal="left" vertical="center"/>
    </xf>
    <xf numFmtId="0" fontId="16" fillId="0" borderId="414" xfId="0" applyFont="1" applyFill="1" applyBorder="1" applyAlignment="1">
      <alignment horizontal="left" vertical="center"/>
    </xf>
    <xf numFmtId="0" fontId="16" fillId="0" borderId="414" xfId="0" applyFont="1" applyBorder="1" applyAlignment="1">
      <alignment vertical="center"/>
    </xf>
    <xf numFmtId="0" fontId="16" fillId="0" borderId="414" xfId="0" applyFont="1" applyBorder="1" applyAlignment="1">
      <alignment horizontal="center" vertical="center"/>
    </xf>
    <xf numFmtId="0" fontId="16" fillId="0" borderId="414" xfId="0" applyFont="1" applyFill="1" applyBorder="1" applyAlignment="1">
      <alignment horizontal="center" vertical="center"/>
    </xf>
    <xf numFmtId="0" fontId="16" fillId="0" borderId="414" xfId="0" applyNumberFormat="1" applyFont="1" applyFill="1" applyBorder="1" applyAlignment="1">
      <alignment horizontal="center" vertical="center"/>
    </xf>
    <xf numFmtId="0" fontId="16" fillId="0" borderId="414" xfId="0" applyNumberFormat="1" applyFont="1" applyBorder="1" applyAlignment="1">
      <alignment horizontal="center" vertical="center"/>
    </xf>
    <xf numFmtId="0" fontId="16" fillId="0" borderId="414" xfId="0" applyFont="1" applyFill="1" applyBorder="1" applyAlignment="1">
      <alignment vertical="center"/>
    </xf>
    <xf numFmtId="168" fontId="4" fillId="25" borderId="268" xfId="0" applyNumberFormat="1" applyFont="1" applyFill="1" applyBorder="1" applyAlignment="1" applyProtection="1">
      <alignment horizontal="center" vertical="center" shrinkToFit="1"/>
      <protection locked="0"/>
    </xf>
    <xf numFmtId="3" fontId="5" fillId="25" borderId="345" xfId="0" applyNumberFormat="1" applyFont="1" applyFill="1" applyBorder="1" applyAlignment="1" applyProtection="1">
      <alignment horizontal="center" vertical="center" shrinkToFit="1"/>
      <protection locked="0"/>
    </xf>
    <xf numFmtId="3" fontId="4" fillId="25" borderId="287" xfId="0" applyNumberFormat="1" applyFont="1" applyFill="1" applyBorder="1" applyAlignment="1" applyProtection="1">
      <alignment horizontal="center" vertical="center" shrinkToFit="1"/>
      <protection locked="0"/>
    </xf>
    <xf numFmtId="168" fontId="4" fillId="0" borderId="268" xfId="0" applyNumberFormat="1" applyFont="1" applyFill="1" applyBorder="1" applyAlignment="1" applyProtection="1">
      <alignment horizontal="center" vertical="center" shrinkToFit="1"/>
      <protection locked="0"/>
    </xf>
    <xf numFmtId="3" fontId="5" fillId="0" borderId="345" xfId="0" applyNumberFormat="1" applyFont="1" applyFill="1" applyBorder="1" applyAlignment="1" applyProtection="1">
      <alignment horizontal="center" vertical="center" shrinkToFit="1"/>
      <protection locked="0"/>
    </xf>
    <xf numFmtId="3" fontId="4" fillId="0" borderId="287" xfId="0" applyNumberFormat="1" applyFont="1" applyFill="1" applyBorder="1" applyAlignment="1" applyProtection="1">
      <alignment horizontal="center" vertical="center" shrinkToFit="1"/>
      <protection locked="0"/>
    </xf>
    <xf numFmtId="49" fontId="3" fillId="9" borderId="52" xfId="0" applyNumberFormat="1" applyFont="1" applyFill="1" applyBorder="1" applyAlignment="1">
      <alignment horizontal="center" vertical="center" shrinkToFit="1"/>
    </xf>
    <xf numFmtId="177" fontId="4" fillId="0" borderId="288" xfId="0" applyNumberFormat="1" applyFont="1" applyFill="1" applyBorder="1" applyAlignment="1">
      <alignment horizontal="center" vertical="center" shrinkToFit="1"/>
    </xf>
    <xf numFmtId="0" fontId="4" fillId="0" borderId="290" xfId="0" applyNumberFormat="1" applyFont="1" applyFill="1" applyBorder="1" applyAlignment="1">
      <alignment horizontal="center" vertical="center" shrinkToFit="1"/>
    </xf>
    <xf numFmtId="0" fontId="4" fillId="0" borderId="291" xfId="0" applyNumberFormat="1" applyFont="1" applyFill="1" applyBorder="1" applyAlignment="1">
      <alignment horizontal="center" vertical="center" shrinkToFit="1"/>
    </xf>
    <xf numFmtId="3" fontId="4" fillId="25" borderId="348" xfId="0" applyNumberFormat="1" applyFont="1" applyFill="1" applyBorder="1" applyAlignment="1" applyProtection="1">
      <alignment horizontal="center" vertical="center" shrinkToFit="1"/>
      <protection locked="0"/>
    </xf>
    <xf numFmtId="3" fontId="4" fillId="25" borderId="328" xfId="0" applyNumberFormat="1" applyFont="1" applyFill="1" applyBorder="1" applyAlignment="1" applyProtection="1">
      <alignment horizontal="center" vertical="center" shrinkToFit="1"/>
      <protection locked="0"/>
    </xf>
    <xf numFmtId="3" fontId="4" fillId="25" borderId="329" xfId="0" applyNumberFormat="1" applyFont="1" applyFill="1" applyBorder="1" applyAlignment="1" applyProtection="1">
      <alignment horizontal="center" vertical="center" shrinkToFit="1"/>
      <protection locked="0"/>
    </xf>
    <xf numFmtId="49" fontId="4" fillId="25" borderId="348" xfId="0" applyNumberFormat="1" applyFont="1" applyFill="1" applyBorder="1" applyAlignment="1" applyProtection="1">
      <alignment horizontal="left" vertical="center" shrinkToFit="1"/>
      <protection locked="0"/>
    </xf>
    <xf numFmtId="49" fontId="4" fillId="25" borderId="328" xfId="0" applyNumberFormat="1" applyFont="1" applyFill="1" applyBorder="1" applyAlignment="1" applyProtection="1">
      <alignment horizontal="left" vertical="center" shrinkToFit="1"/>
      <protection locked="0"/>
    </xf>
    <xf numFmtId="49" fontId="4" fillId="25" borderId="283" xfId="0" applyNumberFormat="1" applyFont="1" applyFill="1" applyBorder="1" applyAlignment="1" applyProtection="1">
      <alignment horizontal="left" vertical="center" shrinkToFit="1"/>
      <protection locked="0"/>
    </xf>
    <xf numFmtId="3" fontId="4" fillId="0" borderId="348" xfId="0" applyNumberFormat="1" applyFont="1" applyFill="1" applyBorder="1" applyAlignment="1" applyProtection="1">
      <alignment horizontal="center" vertical="center" shrinkToFit="1"/>
      <protection locked="0"/>
    </xf>
    <xf numFmtId="3" fontId="4" fillId="0" borderId="328" xfId="0" applyNumberFormat="1" applyFont="1" applyFill="1" applyBorder="1" applyAlignment="1" applyProtection="1">
      <alignment horizontal="center" vertical="center" shrinkToFit="1"/>
      <protection locked="0"/>
    </xf>
    <xf numFmtId="3" fontId="4" fillId="0" borderId="329" xfId="0" applyNumberFormat="1" applyFont="1" applyFill="1" applyBorder="1" applyAlignment="1" applyProtection="1">
      <alignment horizontal="center" vertical="center" shrinkToFit="1"/>
      <protection locked="0"/>
    </xf>
    <xf numFmtId="49" fontId="4" fillId="0" borderId="348" xfId="0" applyNumberFormat="1" applyFont="1" applyFill="1" applyBorder="1" applyAlignment="1" applyProtection="1">
      <alignment horizontal="left" vertical="center" shrinkToFit="1"/>
      <protection locked="0"/>
    </xf>
    <xf numFmtId="49" fontId="4" fillId="0" borderId="328" xfId="0" applyNumberFormat="1" applyFont="1" applyFill="1" applyBorder="1" applyAlignment="1" applyProtection="1">
      <alignment horizontal="left" vertical="center" shrinkToFit="1"/>
      <protection locked="0"/>
    </xf>
    <xf numFmtId="49" fontId="4" fillId="0" borderId="283" xfId="0" applyNumberFormat="1" applyFont="1" applyFill="1" applyBorder="1" applyAlignment="1" applyProtection="1">
      <alignment horizontal="left" vertical="center" shrinkToFit="1"/>
      <protection locked="0"/>
    </xf>
    <xf numFmtId="3" fontId="4" fillId="0" borderId="364" xfId="0" applyNumberFormat="1" applyFont="1" applyFill="1" applyBorder="1" applyAlignment="1" applyProtection="1">
      <alignment horizontal="center" vertical="center" shrinkToFit="1"/>
      <protection locked="0"/>
    </xf>
    <xf numFmtId="3" fontId="4" fillId="0" borderId="350" xfId="0" applyNumberFormat="1" applyFont="1" applyFill="1" applyBorder="1" applyAlignment="1" applyProtection="1">
      <alignment horizontal="center" vertical="center" shrinkToFit="1"/>
      <protection locked="0"/>
    </xf>
    <xf numFmtId="3" fontId="4" fillId="0" borderId="363" xfId="0" applyNumberFormat="1" applyFont="1" applyFill="1" applyBorder="1" applyAlignment="1" applyProtection="1">
      <alignment horizontal="center" vertical="center" shrinkToFit="1"/>
      <protection locked="0"/>
    </xf>
    <xf numFmtId="49" fontId="4" fillId="0" borderId="365" xfId="0" applyNumberFormat="1" applyFont="1" applyFill="1" applyBorder="1" applyAlignment="1" applyProtection="1">
      <alignment horizontal="left" vertical="center" shrinkToFit="1"/>
      <protection locked="0"/>
    </xf>
    <xf numFmtId="49" fontId="4" fillId="0" borderId="366" xfId="0" applyNumberFormat="1" applyFont="1" applyFill="1" applyBorder="1" applyAlignment="1" applyProtection="1">
      <alignment horizontal="left" vertical="center" shrinkToFit="1"/>
      <protection locked="0"/>
    </xf>
    <xf numFmtId="49" fontId="4" fillId="0" borderId="367" xfId="0" applyNumberFormat="1" applyFont="1" applyFill="1" applyBorder="1" applyAlignment="1" applyProtection="1">
      <alignment horizontal="left" vertical="center" shrinkToFit="1"/>
      <protection locked="0"/>
    </xf>
    <xf numFmtId="49" fontId="3" fillId="10" borderId="288" xfId="0" applyNumberFormat="1" applyFont="1" applyFill="1" applyBorder="1" applyAlignment="1">
      <alignment horizontal="center" vertical="center" shrinkToFit="1"/>
    </xf>
    <xf numFmtId="0" fontId="4" fillId="0" borderId="289" xfId="0" applyNumberFormat="1" applyFont="1" applyFill="1" applyBorder="1" applyAlignment="1">
      <alignment horizontal="center" vertical="center" shrinkToFit="1"/>
    </xf>
    <xf numFmtId="49" fontId="3" fillId="9" borderId="290" xfId="0" applyNumberFormat="1" applyFont="1" applyFill="1" applyBorder="1" applyAlignment="1" applyProtection="1">
      <alignment horizontal="center" vertical="center" shrinkToFit="1"/>
      <protection locked="0"/>
    </xf>
    <xf numFmtId="49" fontId="3" fillId="9" borderId="291" xfId="0" applyNumberFormat="1" applyFont="1" applyFill="1" applyBorder="1" applyAlignment="1" applyProtection="1">
      <alignment horizontal="center" vertical="center" shrinkToFit="1"/>
      <protection locked="0"/>
    </xf>
    <xf numFmtId="49" fontId="3" fillId="9" borderId="289" xfId="0" applyNumberFormat="1" applyFont="1" applyFill="1" applyBorder="1" applyAlignment="1" applyProtection="1">
      <alignment horizontal="center" vertical="center" shrinkToFit="1"/>
      <protection locked="0"/>
    </xf>
    <xf numFmtId="49" fontId="3" fillId="9" borderId="52" xfId="0" applyNumberFormat="1" applyFont="1" applyFill="1" applyBorder="1" applyAlignment="1" applyProtection="1">
      <alignment horizontal="center" vertical="center" shrinkToFit="1"/>
    </xf>
    <xf numFmtId="174" fontId="5" fillId="0" borderId="288" xfId="0" applyNumberFormat="1" applyFont="1" applyFill="1" applyBorder="1" applyAlignment="1" applyProtection="1">
      <alignment horizontal="center" vertical="center" shrinkToFit="1"/>
      <protection locked="0"/>
    </xf>
    <xf numFmtId="174" fontId="3" fillId="0" borderId="288" xfId="0" applyNumberFormat="1" applyFont="1" applyFill="1" applyBorder="1" applyAlignment="1" applyProtection="1">
      <alignment horizontal="center" vertical="center" shrinkToFit="1"/>
    </xf>
    <xf numFmtId="174" fontId="5" fillId="0" borderId="288" xfId="0" applyNumberFormat="1" applyFont="1" applyFill="1" applyBorder="1" applyAlignment="1" applyProtection="1">
      <alignment horizontal="center" vertical="center" shrinkToFit="1"/>
    </xf>
    <xf numFmtId="0" fontId="4" fillId="0" borderId="288" xfId="0" applyNumberFormat="1" applyFont="1" applyFill="1" applyBorder="1" applyAlignment="1">
      <alignment horizontal="center" vertical="center" shrinkToFit="1"/>
    </xf>
    <xf numFmtId="1" fontId="4" fillId="0" borderId="288" xfId="0" applyNumberFormat="1" applyFont="1" applyFill="1" applyBorder="1" applyAlignment="1">
      <alignment horizontal="center" vertical="center" shrinkToFit="1"/>
    </xf>
    <xf numFmtId="168" fontId="4" fillId="25" borderId="302" xfId="0" applyNumberFormat="1" applyFont="1" applyFill="1" applyBorder="1" applyAlignment="1" applyProtection="1">
      <alignment horizontal="center" vertical="center" shrinkToFit="1"/>
      <protection locked="0"/>
    </xf>
    <xf numFmtId="3" fontId="4" fillId="25" borderId="304" xfId="0" applyNumberFormat="1" applyFont="1" applyFill="1" applyBorder="1" applyAlignment="1" applyProtection="1">
      <alignment horizontal="center" vertical="center" shrinkToFit="1"/>
      <protection locked="0"/>
    </xf>
    <xf numFmtId="3" fontId="4" fillId="25" borderId="234" xfId="0" applyNumberFormat="1" applyFont="1" applyFill="1" applyBorder="1" applyAlignment="1" applyProtection="1">
      <alignment horizontal="center" vertical="center" shrinkToFit="1"/>
      <protection locked="0"/>
    </xf>
    <xf numFmtId="3" fontId="5" fillId="25" borderId="346" xfId="0" applyNumberFormat="1" applyFont="1" applyFill="1" applyBorder="1" applyAlignment="1" applyProtection="1">
      <alignment horizontal="center" vertical="center" shrinkToFit="1"/>
      <protection locked="0"/>
    </xf>
    <xf numFmtId="3" fontId="4" fillId="25" borderId="294" xfId="0" applyNumberFormat="1" applyFont="1" applyFill="1" applyBorder="1" applyAlignment="1" applyProtection="1">
      <alignment horizontal="center" vertical="center" shrinkToFit="1"/>
      <protection locked="0"/>
    </xf>
    <xf numFmtId="3" fontId="4" fillId="25" borderId="295" xfId="0" applyNumberFormat="1" applyFont="1" applyFill="1" applyBorder="1" applyAlignment="1" applyProtection="1">
      <alignment horizontal="center" vertical="center" shrinkToFit="1"/>
      <protection locked="0"/>
    </xf>
    <xf numFmtId="3" fontId="4" fillId="25" borderId="296" xfId="0" applyNumberFormat="1" applyFont="1" applyFill="1" applyBorder="1" applyAlignment="1" applyProtection="1">
      <alignment horizontal="center" vertical="center" shrinkToFit="1"/>
      <protection locked="0"/>
    </xf>
    <xf numFmtId="3" fontId="4" fillId="0" borderId="234" xfId="0" applyNumberFormat="1" applyFont="1" applyFill="1" applyBorder="1" applyAlignment="1" applyProtection="1">
      <alignment horizontal="center" vertical="center" shrinkToFit="1"/>
      <protection locked="0"/>
    </xf>
    <xf numFmtId="49" fontId="3" fillId="9" borderId="298" xfId="0" applyNumberFormat="1" applyFont="1" applyFill="1" applyBorder="1" applyAlignment="1" applyProtection="1">
      <alignment horizontal="center" vertical="center" shrinkToFit="1"/>
    </xf>
    <xf numFmtId="49" fontId="3" fillId="9" borderId="299" xfId="0" applyNumberFormat="1" applyFont="1" applyFill="1" applyBorder="1" applyAlignment="1" applyProtection="1">
      <alignment horizontal="center" vertical="center" shrinkToFit="1"/>
    </xf>
    <xf numFmtId="49" fontId="3" fillId="9" borderId="299" xfId="0" applyNumberFormat="1" applyFont="1" applyFill="1" applyBorder="1" applyAlignment="1">
      <alignment horizontal="center" vertical="center" shrinkToFit="1"/>
    </xf>
    <xf numFmtId="168" fontId="4" fillId="0" borderId="6" xfId="0" applyNumberFormat="1" applyFont="1" applyFill="1" applyBorder="1" applyAlignment="1" applyProtection="1">
      <alignment horizontal="center" vertical="center" shrinkToFit="1"/>
      <protection locked="0"/>
    </xf>
    <xf numFmtId="3" fontId="4" fillId="0" borderId="17" xfId="0" applyNumberFormat="1" applyFont="1" applyFill="1" applyBorder="1" applyAlignment="1" applyProtection="1">
      <alignment horizontal="center" vertical="center" shrinkToFit="1"/>
      <protection locked="0"/>
    </xf>
    <xf numFmtId="168" fontId="3" fillId="9" borderId="298" xfId="0" applyNumberFormat="1" applyFont="1" applyFill="1" applyBorder="1" applyAlignment="1">
      <alignment horizontal="center" vertical="center" shrinkToFit="1"/>
    </xf>
    <xf numFmtId="3" fontId="3" fillId="9" borderId="299" xfId="0" applyNumberFormat="1" applyFont="1" applyFill="1" applyBorder="1" applyAlignment="1">
      <alignment horizontal="center" vertical="center" shrinkToFit="1"/>
    </xf>
    <xf numFmtId="3" fontId="3" fillId="9" borderId="300" xfId="0" applyNumberFormat="1" applyFont="1" applyFill="1" applyBorder="1" applyAlignment="1">
      <alignment horizontal="center" vertical="center" shrinkToFit="1"/>
    </xf>
    <xf numFmtId="3" fontId="4" fillId="0" borderId="362" xfId="0" applyNumberFormat="1" applyFont="1" applyFill="1" applyBorder="1" applyAlignment="1" applyProtection="1">
      <alignment horizontal="center" vertical="center" shrinkToFit="1"/>
      <protection locked="0"/>
    </xf>
    <xf numFmtId="49" fontId="3" fillId="10" borderId="355" xfId="0" applyNumberFormat="1" applyFont="1" applyFill="1" applyBorder="1" applyAlignment="1">
      <alignment horizontal="center" vertical="center" shrinkToFit="1"/>
    </xf>
    <xf numFmtId="49" fontId="3" fillId="10" borderId="356" xfId="0" applyNumberFormat="1" applyFont="1" applyFill="1" applyBorder="1" applyAlignment="1">
      <alignment horizontal="center" vertical="center" shrinkToFit="1"/>
    </xf>
    <xf numFmtId="49" fontId="3" fillId="10" borderId="357" xfId="0" applyNumberFormat="1" applyFont="1" applyFill="1" applyBorder="1" applyAlignment="1">
      <alignment horizontal="center" vertical="center" shrinkToFit="1"/>
    </xf>
    <xf numFmtId="49" fontId="3" fillId="10" borderId="358" xfId="0" applyNumberFormat="1" applyFont="1" applyFill="1" applyBorder="1" applyAlignment="1">
      <alignment horizontal="center" vertical="center" shrinkToFit="1"/>
    </xf>
    <xf numFmtId="49" fontId="3" fillId="10" borderId="359" xfId="0" applyNumberFormat="1" applyFont="1" applyFill="1" applyBorder="1" applyAlignment="1">
      <alignment horizontal="center" vertical="center" shrinkToFit="1"/>
    </xf>
    <xf numFmtId="49" fontId="3" fillId="10" borderId="360" xfId="0" applyNumberFormat="1" applyFont="1" applyFill="1" applyBorder="1" applyAlignment="1">
      <alignment horizontal="center" vertical="center" shrinkToFit="1"/>
    </xf>
    <xf numFmtId="167" fontId="4" fillId="0" borderId="1" xfId="0" applyNumberFormat="1" applyFont="1" applyFill="1" applyBorder="1" applyAlignment="1">
      <alignment horizontal="center" vertical="center" shrinkToFit="1"/>
    </xf>
    <xf numFmtId="171" fontId="4" fillId="0" borderId="235" xfId="0" applyNumberFormat="1" applyFont="1" applyFill="1" applyBorder="1" applyAlignment="1">
      <alignment horizontal="center" vertical="center" shrinkToFit="1"/>
    </xf>
    <xf numFmtId="171" fontId="4" fillId="0" borderId="219" xfId="0" applyNumberFormat="1" applyFont="1" applyFill="1" applyBorder="1" applyAlignment="1">
      <alignment horizontal="center" vertical="center" shrinkToFit="1"/>
    </xf>
    <xf numFmtId="171" fontId="4" fillId="0" borderId="220" xfId="0" applyNumberFormat="1" applyFont="1" applyFill="1" applyBorder="1" applyAlignment="1">
      <alignment horizontal="center" vertical="center" shrinkToFit="1"/>
    </xf>
    <xf numFmtId="167" fontId="4" fillId="0" borderId="4" xfId="0" applyNumberFormat="1" applyFont="1" applyFill="1" applyBorder="1" applyAlignment="1" applyProtection="1">
      <alignment horizontal="center" vertical="center" shrinkToFit="1"/>
    </xf>
    <xf numFmtId="49" fontId="3" fillId="9" borderId="1" xfId="0" applyNumberFormat="1" applyFont="1" applyFill="1" applyBorder="1" applyAlignment="1" applyProtection="1">
      <alignment horizontal="left" vertical="center" shrinkToFit="1"/>
    </xf>
    <xf numFmtId="49" fontId="3" fillId="9" borderId="1" xfId="0" applyNumberFormat="1" applyFont="1" applyFill="1" applyBorder="1" applyAlignment="1">
      <alignment horizontal="center" vertical="center" shrinkToFit="1"/>
    </xf>
    <xf numFmtId="0" fontId="4" fillId="0" borderId="1" xfId="0" applyNumberFormat="1" applyFont="1" applyFill="1" applyBorder="1" applyAlignment="1">
      <alignment horizontal="center" vertical="center" shrinkToFit="1"/>
    </xf>
    <xf numFmtId="49" fontId="3" fillId="9" borderId="361" xfId="0" applyNumberFormat="1" applyFont="1" applyFill="1" applyBorder="1" applyAlignment="1">
      <alignment horizontal="center" vertical="center" shrinkToFit="1"/>
    </xf>
    <xf numFmtId="49" fontId="3" fillId="9" borderId="359" xfId="0" applyNumberFormat="1" applyFont="1" applyFill="1" applyBorder="1" applyAlignment="1">
      <alignment horizontal="center" vertical="center" shrinkToFit="1"/>
    </xf>
    <xf numFmtId="49" fontId="3" fillId="9" borderId="360" xfId="0" applyNumberFormat="1" applyFont="1" applyFill="1" applyBorder="1" applyAlignment="1">
      <alignment horizontal="center" vertical="center" shrinkToFit="1"/>
    </xf>
    <xf numFmtId="0" fontId="4" fillId="0" borderId="1" xfId="0" applyNumberFormat="1" applyFont="1" applyFill="1" applyBorder="1" applyAlignment="1" applyProtection="1">
      <alignment horizontal="center" vertical="center" shrinkToFit="1"/>
      <protection locked="0"/>
    </xf>
    <xf numFmtId="49" fontId="7" fillId="10" borderId="1" xfId="0" applyNumberFormat="1" applyFont="1" applyFill="1" applyBorder="1" applyAlignment="1">
      <alignment horizontal="center" vertical="center" shrinkToFit="1"/>
    </xf>
    <xf numFmtId="49" fontId="3" fillId="9" borderId="5" xfId="0" applyNumberFormat="1" applyFont="1" applyFill="1" applyBorder="1" applyAlignment="1" applyProtection="1">
      <alignment horizontal="center" vertical="center" shrinkToFit="1"/>
    </xf>
    <xf numFmtId="49" fontId="3" fillId="9" borderId="2" xfId="0" applyNumberFormat="1" applyFont="1" applyFill="1" applyBorder="1" applyAlignment="1" applyProtection="1">
      <alignment horizontal="center" vertical="center" shrinkToFit="1"/>
    </xf>
    <xf numFmtId="49" fontId="3" fillId="9" borderId="22" xfId="0" applyNumberFormat="1" applyFont="1" applyFill="1" applyBorder="1" applyAlignment="1" applyProtection="1">
      <alignment horizontal="center" vertical="center" shrinkToFit="1"/>
    </xf>
    <xf numFmtId="49" fontId="3" fillId="9" borderId="4" xfId="0" applyNumberFormat="1" applyFont="1" applyFill="1" applyBorder="1" applyAlignment="1" applyProtection="1">
      <alignment horizontal="center" vertical="center" shrinkToFit="1"/>
    </xf>
    <xf numFmtId="1" fontId="4" fillId="0" borderId="1" xfId="0" applyNumberFormat="1" applyFont="1" applyFill="1" applyBorder="1" applyAlignment="1">
      <alignment horizontal="center" vertical="center" shrinkToFit="1"/>
    </xf>
    <xf numFmtId="177" fontId="4" fillId="0" borderId="1" xfId="0" applyNumberFormat="1" applyFont="1" applyFill="1" applyBorder="1" applyAlignment="1">
      <alignment horizontal="center" vertical="center" shrinkToFit="1"/>
    </xf>
    <xf numFmtId="1" fontId="4" fillId="0" borderId="1" xfId="0" applyNumberFormat="1" applyFont="1" applyFill="1" applyBorder="1" applyAlignment="1" applyProtection="1">
      <alignment horizontal="center" vertical="center" shrinkToFit="1"/>
      <protection locked="0"/>
    </xf>
    <xf numFmtId="49" fontId="3" fillId="9" borderId="49" xfId="0" applyNumberFormat="1" applyFont="1" applyFill="1" applyBorder="1" applyAlignment="1">
      <alignment horizontal="left" vertical="center" shrinkToFit="1"/>
    </xf>
    <xf numFmtId="0" fontId="4" fillId="0" borderId="133" xfId="0" applyNumberFormat="1" applyFont="1" applyFill="1" applyBorder="1" applyAlignment="1" applyProtection="1">
      <alignment horizontal="left" vertical="center" shrinkToFit="1"/>
      <protection locked="0"/>
    </xf>
    <xf numFmtId="0" fontId="4" fillId="0" borderId="135" xfId="0" applyNumberFormat="1" applyFont="1" applyFill="1" applyBorder="1" applyAlignment="1" applyProtection="1">
      <alignment horizontal="left" vertical="center" shrinkToFit="1"/>
      <protection locked="0"/>
    </xf>
    <xf numFmtId="0" fontId="4" fillId="0" borderId="69" xfId="0" applyNumberFormat="1" applyFont="1" applyFill="1" applyBorder="1" applyAlignment="1" applyProtection="1">
      <alignment horizontal="left" vertical="center" shrinkToFit="1"/>
      <protection locked="0"/>
    </xf>
    <xf numFmtId="49" fontId="4" fillId="0" borderId="269" xfId="0" applyNumberFormat="1" applyFont="1" applyFill="1" applyBorder="1" applyAlignment="1" applyProtection="1">
      <alignment horizontal="left" vertical="center" shrinkToFit="1"/>
      <protection locked="0"/>
    </xf>
    <xf numFmtId="49" fontId="3" fillId="9" borderId="1" xfId="0" applyNumberFormat="1" applyFont="1" applyFill="1" applyBorder="1" applyAlignment="1">
      <alignment horizontal="left" vertical="center" shrinkToFit="1"/>
    </xf>
    <xf numFmtId="49" fontId="4" fillId="0" borderId="1" xfId="0" applyNumberFormat="1" applyFont="1" applyFill="1" applyBorder="1" applyAlignment="1" applyProtection="1">
      <alignment horizontal="left" vertical="center" shrinkToFit="1"/>
      <protection locked="0"/>
    </xf>
    <xf numFmtId="49" fontId="3" fillId="9" borderId="2" xfId="0" applyNumberFormat="1" applyFont="1" applyFill="1" applyBorder="1" applyAlignment="1">
      <alignment horizontal="left" vertical="center" shrinkToFit="1"/>
    </xf>
    <xf numFmtId="0" fontId="4" fillId="0" borderId="164" xfId="0" applyFont="1" applyFill="1" applyBorder="1" applyAlignment="1">
      <alignment horizontal="left" vertical="center" shrinkToFit="1"/>
    </xf>
    <xf numFmtId="0" fontId="4" fillId="0" borderId="165" xfId="0" applyFont="1" applyFill="1" applyBorder="1" applyAlignment="1">
      <alignment horizontal="left" vertical="center" shrinkToFit="1"/>
    </xf>
    <xf numFmtId="0" fontId="4" fillId="0" borderId="166" xfId="0" applyFont="1" applyFill="1" applyBorder="1" applyAlignment="1">
      <alignment horizontal="left" vertical="center" shrinkToFit="1"/>
    </xf>
    <xf numFmtId="49" fontId="3" fillId="9" borderId="49" xfId="0" applyNumberFormat="1" applyFont="1" applyFill="1" applyBorder="1" applyAlignment="1">
      <alignment horizontal="center" vertical="center" shrinkToFit="1"/>
    </xf>
    <xf numFmtId="49" fontId="3" fillId="9" borderId="269" xfId="0" applyNumberFormat="1" applyFont="1" applyFill="1" applyBorder="1" applyAlignment="1" applyProtection="1">
      <alignment horizontal="left" vertical="center" shrinkToFit="1"/>
    </xf>
    <xf numFmtId="49" fontId="3" fillId="9" borderId="1" xfId="0" applyNumberFormat="1" applyFont="1" applyFill="1" applyBorder="1" applyAlignment="1">
      <alignment horizontal="left" vertical="center" wrapText="1" shrinkToFit="1"/>
    </xf>
    <xf numFmtId="49" fontId="4" fillId="0" borderId="2" xfId="0" applyNumberFormat="1" applyFont="1" applyFill="1" applyBorder="1" applyAlignment="1" applyProtection="1">
      <alignment horizontal="left" vertical="center" shrinkToFit="1"/>
      <protection locked="0"/>
    </xf>
    <xf numFmtId="49" fontId="4" fillId="0" borderId="22" xfId="0" applyNumberFormat="1" applyFont="1" applyFill="1" applyBorder="1" applyAlignment="1" applyProtection="1">
      <alignment horizontal="left" vertical="center" shrinkToFit="1"/>
      <protection locked="0"/>
    </xf>
    <xf numFmtId="49" fontId="4" fillId="0" borderId="4" xfId="0" applyNumberFormat="1" applyFont="1" applyFill="1" applyBorder="1" applyAlignment="1" applyProtection="1">
      <alignment horizontal="left" vertical="center" shrinkToFit="1"/>
      <protection locked="0"/>
    </xf>
    <xf numFmtId="0" fontId="4" fillId="0" borderId="67" xfId="0" applyNumberFormat="1" applyFont="1" applyFill="1" applyBorder="1" applyAlignment="1" applyProtection="1">
      <alignment horizontal="center" vertical="center" shrinkToFit="1"/>
    </xf>
    <xf numFmtId="0" fontId="4" fillId="0" borderId="68" xfId="0" applyNumberFormat="1" applyFont="1" applyFill="1" applyBorder="1" applyAlignment="1" applyProtection="1">
      <alignment horizontal="center" vertical="center" shrinkToFit="1"/>
    </xf>
    <xf numFmtId="49" fontId="3" fillId="9" borderId="70" xfId="0" applyNumberFormat="1" applyFont="1" applyFill="1" applyBorder="1" applyAlignment="1">
      <alignment horizontal="left" vertical="center" shrinkToFit="1"/>
    </xf>
    <xf numFmtId="49" fontId="3" fillId="9" borderId="71" xfId="0" applyNumberFormat="1" applyFont="1" applyFill="1" applyBorder="1" applyAlignment="1">
      <alignment horizontal="left" vertical="center" shrinkToFit="1"/>
    </xf>
    <xf numFmtId="49" fontId="3" fillId="9" borderId="69" xfId="0" applyNumberFormat="1" applyFont="1" applyFill="1" applyBorder="1" applyAlignment="1">
      <alignment horizontal="left" vertical="center" shrinkToFit="1"/>
    </xf>
    <xf numFmtId="164" fontId="4" fillId="0" borderId="79" xfId="0" applyNumberFormat="1" applyFont="1" applyFill="1" applyBorder="1" applyAlignment="1" applyProtection="1">
      <alignment horizontal="center" vertical="center" shrinkToFit="1"/>
    </xf>
    <xf numFmtId="164" fontId="4" fillId="0" borderId="22" xfId="0" applyNumberFormat="1" applyFont="1" applyFill="1" applyBorder="1" applyAlignment="1" applyProtection="1">
      <alignment horizontal="center" vertical="center" shrinkToFit="1"/>
    </xf>
    <xf numFmtId="164" fontId="4" fillId="0" borderId="4" xfId="0" applyNumberFormat="1" applyFont="1" applyFill="1" applyBorder="1" applyAlignment="1" applyProtection="1">
      <alignment horizontal="center" vertical="center" shrinkToFit="1"/>
    </xf>
    <xf numFmtId="165" fontId="4" fillId="0" borderId="1" xfId="0" applyNumberFormat="1" applyFont="1" applyFill="1" applyBorder="1" applyAlignment="1">
      <alignment horizontal="center" vertical="center" shrinkToFit="1"/>
    </xf>
    <xf numFmtId="0" fontId="4" fillId="0" borderId="1" xfId="0" applyNumberFormat="1" applyFont="1" applyFill="1" applyBorder="1" applyAlignment="1" applyProtection="1">
      <alignment horizontal="center" vertical="center" shrinkToFit="1"/>
    </xf>
    <xf numFmtId="49" fontId="4" fillId="0" borderId="49" xfId="0" applyNumberFormat="1" applyFont="1" applyFill="1" applyBorder="1" applyAlignment="1" applyProtection="1">
      <alignment horizontal="left" vertical="center" shrinkToFit="1"/>
      <protection locked="0"/>
    </xf>
    <xf numFmtId="0" fontId="3" fillId="6" borderId="49" xfId="0" applyNumberFormat="1" applyFont="1" applyFill="1" applyBorder="1" applyAlignment="1" applyProtection="1">
      <alignment horizontal="left" vertical="center" shrinkToFit="1"/>
    </xf>
    <xf numFmtId="0" fontId="4" fillId="0" borderId="69" xfId="0" applyNumberFormat="1" applyFont="1" applyFill="1" applyBorder="1" applyAlignment="1" applyProtection="1">
      <alignment horizontal="center" vertical="center" shrinkToFit="1"/>
    </xf>
    <xf numFmtId="0" fontId="4" fillId="0" borderId="67" xfId="0" applyNumberFormat="1" applyFont="1" applyFill="1" applyBorder="1" applyAlignment="1" applyProtection="1">
      <alignment horizontal="left" vertical="center" shrinkToFit="1"/>
      <protection locked="0"/>
    </xf>
    <xf numFmtId="0" fontId="4" fillId="0" borderId="68" xfId="0" applyNumberFormat="1" applyFont="1" applyFill="1" applyBorder="1" applyAlignment="1" applyProtection="1">
      <alignment horizontal="left" vertical="center" shrinkToFit="1"/>
      <protection locked="0"/>
    </xf>
    <xf numFmtId="49" fontId="3" fillId="9" borderId="67" xfId="0" applyNumberFormat="1" applyFont="1" applyFill="1" applyBorder="1" applyAlignment="1">
      <alignment horizontal="center" vertical="center" shrinkToFit="1"/>
    </xf>
    <xf numFmtId="49" fontId="3" fillId="9" borderId="68" xfId="0" applyNumberFormat="1" applyFont="1" applyFill="1" applyBorder="1" applyAlignment="1">
      <alignment horizontal="center" vertical="center" shrinkToFit="1"/>
    </xf>
    <xf numFmtId="49" fontId="3" fillId="9" borderId="69" xfId="0" applyNumberFormat="1" applyFont="1" applyFill="1" applyBorder="1" applyAlignment="1">
      <alignment horizontal="center" vertical="center" shrinkToFit="1"/>
    </xf>
    <xf numFmtId="49" fontId="3" fillId="9" borderId="49" xfId="0" applyNumberFormat="1" applyFont="1" applyFill="1" applyBorder="1" applyAlignment="1" applyProtection="1">
      <alignment horizontal="center" vertical="center" shrinkToFit="1"/>
    </xf>
    <xf numFmtId="49" fontId="4" fillId="0" borderId="67" xfId="0" applyNumberFormat="1" applyFont="1" applyFill="1" applyBorder="1" applyAlignment="1" applyProtection="1">
      <alignment horizontal="left" vertical="center" shrinkToFit="1"/>
      <protection locked="0"/>
    </xf>
    <xf numFmtId="49" fontId="4" fillId="0" borderId="68" xfId="0" applyNumberFormat="1" applyFont="1" applyFill="1" applyBorder="1" applyAlignment="1" applyProtection="1">
      <alignment horizontal="left" vertical="center" shrinkToFit="1"/>
      <protection locked="0"/>
    </xf>
    <xf numFmtId="49" fontId="4" fillId="0" borderId="69" xfId="0" applyNumberFormat="1" applyFont="1" applyFill="1" applyBorder="1" applyAlignment="1" applyProtection="1">
      <alignment horizontal="left" vertical="center" shrinkToFit="1"/>
      <protection locked="0"/>
    </xf>
    <xf numFmtId="14" fontId="4" fillId="0" borderId="49" xfId="0" applyNumberFormat="1" applyFont="1" applyFill="1" applyBorder="1" applyAlignment="1" applyProtection="1">
      <alignment horizontal="left" vertical="center" shrinkToFit="1"/>
      <protection locked="0"/>
    </xf>
    <xf numFmtId="166" fontId="4" fillId="0" borderId="1" xfId="0" applyNumberFormat="1" applyFont="1" applyFill="1" applyBorder="1" applyAlignment="1">
      <alignment horizontal="center" vertical="center" shrinkToFit="1"/>
    </xf>
    <xf numFmtId="0" fontId="4" fillId="0" borderId="153" xfId="0" applyNumberFormat="1" applyFont="1" applyFill="1" applyBorder="1" applyAlignment="1" applyProtection="1">
      <alignment horizontal="left" vertical="center" shrinkToFit="1"/>
    </xf>
    <xf numFmtId="0" fontId="4" fillId="0" borderId="154" xfId="0" applyNumberFormat="1" applyFont="1" applyFill="1" applyBorder="1" applyAlignment="1" applyProtection="1">
      <alignment horizontal="left" vertical="center" shrinkToFit="1"/>
    </xf>
    <xf numFmtId="0" fontId="4" fillId="0" borderId="155" xfId="0" applyNumberFormat="1" applyFont="1" applyFill="1" applyBorder="1" applyAlignment="1" applyProtection="1">
      <alignment horizontal="left" vertical="center" shrinkToFit="1"/>
    </xf>
    <xf numFmtId="49" fontId="4" fillId="0" borderId="153" xfId="0" applyNumberFormat="1" applyFont="1" applyFill="1" applyBorder="1" applyAlignment="1" applyProtection="1">
      <alignment horizontal="left" vertical="center" shrinkToFit="1"/>
      <protection locked="0"/>
    </xf>
    <xf numFmtId="49" fontId="4" fillId="0" borderId="154" xfId="0" applyNumberFormat="1" applyFont="1" applyFill="1" applyBorder="1" applyAlignment="1" applyProtection="1">
      <alignment horizontal="left" vertical="center" shrinkToFit="1"/>
      <protection locked="0"/>
    </xf>
    <xf numFmtId="49" fontId="4" fillId="0" borderId="155" xfId="0" applyNumberFormat="1" applyFont="1" applyFill="1" applyBorder="1" applyAlignment="1" applyProtection="1">
      <alignment horizontal="left" vertical="center" shrinkToFit="1"/>
      <protection locked="0"/>
    </xf>
    <xf numFmtId="3" fontId="4" fillId="25" borderId="297" xfId="0" applyNumberFormat="1" applyFont="1" applyFill="1" applyBorder="1" applyAlignment="1" applyProtection="1">
      <alignment horizontal="center" vertical="center" shrinkToFit="1"/>
      <protection locked="0"/>
    </xf>
    <xf numFmtId="49" fontId="4" fillId="25" borderId="349" xfId="0" applyNumberFormat="1" applyFont="1" applyFill="1" applyBorder="1" applyAlignment="1" applyProtection="1">
      <alignment horizontal="left" vertical="center" shrinkToFit="1"/>
      <protection locked="0"/>
    </xf>
    <xf numFmtId="49" fontId="4" fillId="25" borderId="285" xfId="0" applyNumberFormat="1" applyFont="1" applyFill="1" applyBorder="1" applyAlignment="1" applyProtection="1">
      <alignment horizontal="left" vertical="center" shrinkToFit="1"/>
      <protection locked="0"/>
    </xf>
    <xf numFmtId="49" fontId="4" fillId="25" borderId="286" xfId="0" applyNumberFormat="1" applyFont="1" applyFill="1" applyBorder="1" applyAlignment="1" applyProtection="1">
      <alignment horizontal="left" vertical="center" shrinkToFit="1"/>
      <protection locked="0"/>
    </xf>
    <xf numFmtId="49" fontId="3" fillId="6" borderId="15" xfId="0" applyNumberFormat="1" applyFont="1" applyFill="1" applyBorder="1" applyAlignment="1" applyProtection="1">
      <alignment horizontal="center" vertical="center" shrinkToFit="1"/>
    </xf>
    <xf numFmtId="49" fontId="4" fillId="23" borderId="139" xfId="0" applyNumberFormat="1" applyFont="1" applyFill="1" applyBorder="1" applyAlignment="1" applyProtection="1">
      <alignment horizontal="left" vertical="center" shrinkToFit="1"/>
    </xf>
    <xf numFmtId="49" fontId="4" fillId="23" borderId="140" xfId="0" applyNumberFormat="1" applyFont="1" applyFill="1" applyBorder="1" applyAlignment="1" applyProtection="1">
      <alignment horizontal="left" vertical="center" shrinkToFit="1"/>
    </xf>
    <xf numFmtId="0" fontId="4" fillId="23" borderId="140" xfId="0" applyFont="1" applyFill="1" applyBorder="1" applyAlignment="1" applyProtection="1">
      <alignment horizontal="center" vertical="center" shrinkToFit="1"/>
      <protection locked="0"/>
    </xf>
    <xf numFmtId="0" fontId="4" fillId="23" borderId="141" xfId="0" applyFont="1" applyFill="1" applyBorder="1" applyAlignment="1" applyProtection="1">
      <alignment horizontal="center" vertical="center" shrinkToFit="1"/>
      <protection locked="0"/>
    </xf>
    <xf numFmtId="49" fontId="4" fillId="23" borderId="136" xfId="0" applyNumberFormat="1" applyFont="1" applyFill="1" applyBorder="1" applyAlignment="1" applyProtection="1">
      <alignment horizontal="left" vertical="center" shrinkToFit="1"/>
    </xf>
    <xf numFmtId="49" fontId="4" fillId="23" borderId="137" xfId="0" applyNumberFormat="1" applyFont="1" applyFill="1" applyBorder="1" applyAlignment="1" applyProtection="1">
      <alignment horizontal="left" vertical="center" shrinkToFit="1"/>
    </xf>
    <xf numFmtId="0" fontId="4" fillId="23" borderId="137" xfId="0" applyFont="1" applyFill="1" applyBorder="1" applyAlignment="1" applyProtection="1">
      <alignment horizontal="center" vertical="center" shrinkToFit="1"/>
      <protection locked="0"/>
    </xf>
    <xf numFmtId="0" fontId="4" fillId="23" borderId="138" xfId="0" applyFont="1" applyFill="1" applyBorder="1" applyAlignment="1" applyProtection="1">
      <alignment horizontal="center" vertical="center" shrinkToFit="1"/>
      <protection locked="0"/>
    </xf>
    <xf numFmtId="49" fontId="4" fillId="0" borderId="136" xfId="0" applyNumberFormat="1" applyFont="1" applyFill="1" applyBorder="1" applyAlignment="1" applyProtection="1">
      <alignment horizontal="left" vertical="center" shrinkToFit="1"/>
    </xf>
    <xf numFmtId="49" fontId="4" fillId="0" borderId="137" xfId="0" applyNumberFormat="1" applyFont="1" applyFill="1" applyBorder="1" applyAlignment="1" applyProtection="1">
      <alignment horizontal="left" vertical="center" shrinkToFit="1"/>
    </xf>
    <xf numFmtId="0" fontId="4" fillId="0" borderId="137" xfId="0" applyFont="1" applyFill="1" applyBorder="1" applyAlignment="1" applyProtection="1">
      <alignment horizontal="center" vertical="center" shrinkToFit="1"/>
      <protection locked="0"/>
    </xf>
    <xf numFmtId="0" fontId="4" fillId="0" borderId="138" xfId="0" applyFont="1" applyFill="1" applyBorder="1" applyAlignment="1" applyProtection="1">
      <alignment horizontal="center" vertical="center" shrinkToFit="1"/>
      <protection locked="0"/>
    </xf>
    <xf numFmtId="49" fontId="4" fillId="0" borderId="405" xfId="0" applyNumberFormat="1" applyFont="1" applyFill="1" applyBorder="1" applyAlignment="1" applyProtection="1">
      <alignment horizontal="left" vertical="center" shrinkToFit="1"/>
    </xf>
    <xf numFmtId="49" fontId="4" fillId="0" borderId="401" xfId="0" applyNumberFormat="1" applyFont="1" applyFill="1" applyBorder="1" applyAlignment="1" applyProtection="1">
      <alignment horizontal="left" vertical="center" shrinkToFit="1"/>
    </xf>
    <xf numFmtId="1" fontId="4" fillId="0" borderId="279" xfId="0" applyNumberFormat="1" applyFont="1" applyFill="1" applyBorder="1" applyAlignment="1" applyProtection="1">
      <alignment horizontal="center" vertical="center" shrinkToFit="1"/>
      <protection locked="0"/>
    </xf>
    <xf numFmtId="1" fontId="4" fillId="0" borderId="287" xfId="0" applyNumberFormat="1" applyFont="1" applyFill="1" applyBorder="1" applyAlignment="1" applyProtection="1">
      <alignment horizontal="center" vertical="center" shrinkToFit="1"/>
      <protection locked="0"/>
    </xf>
    <xf numFmtId="171" fontId="4" fillId="25" borderId="279" xfId="0" applyNumberFormat="1" applyFont="1" applyFill="1" applyBorder="1" applyAlignment="1" applyProtection="1">
      <alignment horizontal="center" vertical="center" shrinkToFit="1"/>
      <protection locked="0"/>
    </xf>
    <xf numFmtId="1" fontId="4" fillId="25" borderId="279" xfId="0" applyNumberFormat="1" applyFont="1" applyFill="1" applyBorder="1" applyAlignment="1" applyProtection="1">
      <alignment horizontal="center" vertical="center" shrinkToFit="1"/>
      <protection locked="0"/>
    </xf>
    <xf numFmtId="1" fontId="4" fillId="25" borderId="287" xfId="0" applyNumberFormat="1" applyFont="1" applyFill="1" applyBorder="1" applyAlignment="1" applyProtection="1">
      <alignment horizontal="center" vertical="center" shrinkToFit="1"/>
      <protection locked="0"/>
    </xf>
    <xf numFmtId="171" fontId="4" fillId="0" borderId="140" xfId="0" applyNumberFormat="1" applyFont="1" applyFill="1" applyBorder="1" applyAlignment="1" applyProtection="1">
      <alignment horizontal="center" vertical="center" shrinkToFit="1"/>
      <protection locked="0"/>
    </xf>
    <xf numFmtId="1" fontId="4" fillId="0" borderId="140" xfId="0" applyNumberFormat="1" applyFont="1" applyFill="1" applyBorder="1" applyAlignment="1" applyProtection="1">
      <alignment horizontal="center" vertical="center" shrinkToFit="1"/>
      <protection locked="0"/>
    </xf>
    <xf numFmtId="1" fontId="4" fillId="0" borderId="141" xfId="0" applyNumberFormat="1" applyFont="1" applyFill="1" applyBorder="1" applyAlignment="1" applyProtection="1">
      <alignment horizontal="center" vertical="center" shrinkToFit="1"/>
      <protection locked="0"/>
    </xf>
    <xf numFmtId="0" fontId="4" fillId="0" borderId="268" xfId="0" applyNumberFormat="1" applyFont="1" applyFill="1" applyBorder="1" applyAlignment="1" applyProtection="1">
      <alignment horizontal="left" vertical="center" shrinkToFit="1"/>
      <protection locked="0"/>
    </xf>
    <xf numFmtId="0" fontId="4" fillId="0" borderId="279" xfId="0" applyNumberFormat="1" applyFont="1" applyFill="1" applyBorder="1" applyAlignment="1" applyProtection="1">
      <alignment horizontal="left" vertical="center" shrinkToFit="1"/>
      <protection locked="0"/>
    </xf>
    <xf numFmtId="0" fontId="4" fillId="25" borderId="268" xfId="0" applyNumberFormat="1" applyFont="1" applyFill="1" applyBorder="1" applyAlignment="1" applyProtection="1">
      <alignment horizontal="left" vertical="center" shrinkToFit="1"/>
      <protection locked="0"/>
    </xf>
    <xf numFmtId="0" fontId="4" fillId="25" borderId="279" xfId="0" applyNumberFormat="1" applyFont="1" applyFill="1" applyBorder="1" applyAlignment="1" applyProtection="1">
      <alignment horizontal="left" vertical="center" shrinkToFit="1"/>
      <protection locked="0"/>
    </xf>
    <xf numFmtId="0" fontId="4" fillId="0" borderId="139" xfId="0" applyNumberFormat="1" applyFont="1" applyFill="1" applyBorder="1" applyAlignment="1" applyProtection="1">
      <alignment horizontal="left" vertical="center" shrinkToFit="1"/>
      <protection locked="0"/>
    </xf>
    <xf numFmtId="0" fontId="4" fillId="0" borderId="140" xfId="0" applyNumberFormat="1" applyFont="1" applyFill="1" applyBorder="1" applyAlignment="1" applyProtection="1">
      <alignment horizontal="left" vertical="center" shrinkToFit="1"/>
      <protection locked="0"/>
    </xf>
    <xf numFmtId="171" fontId="4" fillId="0" borderId="279" xfId="0" applyNumberFormat="1" applyFont="1" applyFill="1" applyBorder="1" applyAlignment="1" applyProtection="1">
      <alignment horizontal="center" vertical="center" shrinkToFit="1"/>
      <protection locked="0"/>
    </xf>
    <xf numFmtId="171" fontId="4" fillId="0" borderId="5" xfId="0" applyNumberFormat="1" applyFont="1" applyFill="1" applyBorder="1" applyAlignment="1" applyProtection="1">
      <alignment horizontal="center" vertical="center" shrinkToFit="1"/>
      <protection locked="0"/>
    </xf>
    <xf numFmtId="0" fontId="4" fillId="0" borderId="6" xfId="0" applyNumberFormat="1" applyFont="1" applyFill="1" applyBorder="1" applyAlignment="1" applyProtection="1">
      <alignment horizontal="left" vertical="center" shrinkToFit="1"/>
      <protection locked="0"/>
    </xf>
    <xf numFmtId="0" fontId="4" fillId="0" borderId="5" xfId="0" applyNumberFormat="1" applyFont="1" applyFill="1" applyBorder="1" applyAlignment="1" applyProtection="1">
      <alignment horizontal="left" vertical="center" shrinkToFit="1"/>
      <protection locked="0"/>
    </xf>
    <xf numFmtId="49" fontId="3" fillId="7" borderId="212" xfId="0" applyNumberFormat="1" applyFont="1" applyFill="1" applyBorder="1" applyAlignment="1" applyProtection="1">
      <alignment horizontal="left" vertical="center" shrinkToFit="1"/>
    </xf>
    <xf numFmtId="49" fontId="3" fillId="7" borderId="213" xfId="0" applyNumberFormat="1" applyFont="1" applyFill="1" applyBorder="1" applyAlignment="1" applyProtection="1">
      <alignment horizontal="left" vertical="center" shrinkToFit="1"/>
    </xf>
    <xf numFmtId="49" fontId="3" fillId="7" borderId="214" xfId="0" applyNumberFormat="1" applyFont="1" applyFill="1" applyBorder="1" applyAlignment="1" applyProtection="1">
      <alignment horizontal="left" vertical="center" shrinkToFit="1"/>
    </xf>
    <xf numFmtId="0" fontId="4" fillId="0" borderId="225" xfId="0" applyNumberFormat="1" applyFont="1" applyFill="1" applyBorder="1" applyAlignment="1" applyProtection="1">
      <alignment horizontal="left" vertical="center" shrinkToFit="1"/>
      <protection locked="0"/>
    </xf>
    <xf numFmtId="0" fontId="4" fillId="0" borderId="218" xfId="0" applyNumberFormat="1" applyFont="1" applyFill="1" applyBorder="1" applyAlignment="1" applyProtection="1">
      <alignment horizontal="left" vertical="center" shrinkToFit="1"/>
      <protection locked="0"/>
    </xf>
    <xf numFmtId="171" fontId="4" fillId="0" borderId="218" xfId="0" applyNumberFormat="1" applyFont="1" applyFill="1" applyBorder="1" applyAlignment="1" applyProtection="1">
      <alignment horizontal="center" vertical="center" shrinkToFit="1"/>
      <protection locked="0"/>
    </xf>
    <xf numFmtId="171" fontId="4" fillId="0" borderId="218" xfId="0" applyNumberFormat="1" applyFont="1" applyFill="1" applyBorder="1" applyAlignment="1" applyProtection="1">
      <alignment horizontal="center" vertical="center" shrinkToFit="1"/>
    </xf>
    <xf numFmtId="171" fontId="5" fillId="0" borderId="218" xfId="0" applyNumberFormat="1" applyFont="1" applyFill="1" applyBorder="1" applyAlignment="1" applyProtection="1">
      <alignment horizontal="center" vertical="center" shrinkToFit="1"/>
    </xf>
    <xf numFmtId="1" fontId="4" fillId="0" borderId="5" xfId="0" applyNumberFormat="1" applyFont="1" applyFill="1" applyBorder="1" applyAlignment="1" applyProtection="1">
      <alignment horizontal="center" vertical="center" shrinkToFit="1"/>
      <protection locked="0"/>
    </xf>
    <xf numFmtId="1" fontId="4" fillId="0" borderId="17" xfId="0" applyNumberFormat="1" applyFont="1" applyFill="1" applyBorder="1" applyAlignment="1" applyProtection="1">
      <alignment horizontal="center" vertical="center" shrinkToFit="1"/>
      <protection locked="0"/>
    </xf>
    <xf numFmtId="49" fontId="3" fillId="7" borderId="217" xfId="0" applyNumberFormat="1" applyFont="1" applyFill="1" applyBorder="1" applyAlignment="1" applyProtection="1">
      <alignment horizontal="center" vertical="center" shrinkToFit="1"/>
    </xf>
    <xf numFmtId="49" fontId="3" fillId="7" borderId="215" xfId="0" applyNumberFormat="1" applyFont="1" applyFill="1" applyBorder="1" applyAlignment="1" applyProtection="1">
      <alignment horizontal="center" vertical="center" shrinkToFit="1"/>
    </xf>
    <xf numFmtId="0" fontId="4" fillId="25" borderId="225" xfId="0" applyNumberFormat="1" applyFont="1" applyFill="1" applyBorder="1" applyAlignment="1" applyProtection="1">
      <alignment horizontal="left" vertical="center" shrinkToFit="1"/>
      <protection locked="0"/>
    </xf>
    <xf numFmtId="0" fontId="4" fillId="25" borderId="218" xfId="0" applyNumberFormat="1" applyFont="1" applyFill="1" applyBorder="1" applyAlignment="1" applyProtection="1">
      <alignment horizontal="left" vertical="center" shrinkToFit="1"/>
      <protection locked="0"/>
    </xf>
    <xf numFmtId="171" fontId="4" fillId="25" borderId="218" xfId="0" applyNumberFormat="1" applyFont="1" applyFill="1" applyBorder="1" applyAlignment="1" applyProtection="1">
      <alignment horizontal="center" vertical="center" shrinkToFit="1"/>
      <protection locked="0"/>
    </xf>
    <xf numFmtId="1" fontId="4" fillId="0" borderId="218" xfId="0" applyNumberFormat="1" applyFont="1" applyFill="1" applyBorder="1" applyAlignment="1" applyProtection="1">
      <alignment horizontal="center" vertical="center" shrinkToFit="1"/>
      <protection locked="0"/>
    </xf>
    <xf numFmtId="1" fontId="4" fillId="0" borderId="226" xfId="0" applyNumberFormat="1" applyFont="1" applyFill="1" applyBorder="1" applyAlignment="1" applyProtection="1">
      <alignment horizontal="center" vertical="center" shrinkToFit="1"/>
      <protection locked="0"/>
    </xf>
    <xf numFmtId="1" fontId="4" fillId="25" borderId="218" xfId="0" applyNumberFormat="1" applyFont="1" applyFill="1" applyBorder="1" applyAlignment="1" applyProtection="1">
      <alignment horizontal="center" vertical="center" shrinkToFit="1"/>
      <protection locked="0"/>
    </xf>
    <xf numFmtId="1" fontId="4" fillId="25" borderId="226" xfId="0" applyNumberFormat="1" applyFont="1" applyFill="1" applyBorder="1" applyAlignment="1" applyProtection="1">
      <alignment horizontal="center" vertical="center" shrinkToFit="1"/>
      <protection locked="0"/>
    </xf>
    <xf numFmtId="1" fontId="4" fillId="25" borderId="271" xfId="0" applyNumberFormat="1" applyFont="1" applyFill="1" applyBorder="1" applyAlignment="1" applyProtection="1">
      <alignment horizontal="center" vertical="center" shrinkToFit="1"/>
      <protection locked="0"/>
    </xf>
    <xf numFmtId="1" fontId="4" fillId="25" borderId="228" xfId="0" applyNumberFormat="1" applyFont="1" applyFill="1" applyBorder="1" applyAlignment="1" applyProtection="1">
      <alignment horizontal="center" vertical="center" shrinkToFit="1"/>
      <protection locked="0"/>
    </xf>
    <xf numFmtId="171" fontId="5" fillId="25" borderId="218" xfId="0" applyNumberFormat="1" applyFont="1" applyFill="1" applyBorder="1" applyAlignment="1" applyProtection="1">
      <alignment horizontal="center" vertical="center" shrinkToFit="1"/>
    </xf>
    <xf numFmtId="171" fontId="5" fillId="25" borderId="280" xfId="0" applyNumberFormat="1" applyFont="1" applyFill="1" applyBorder="1" applyAlignment="1" applyProtection="1">
      <alignment horizontal="center" vertical="center" shrinkToFit="1"/>
    </xf>
    <xf numFmtId="49" fontId="4" fillId="0" borderId="225" xfId="0" applyNumberFormat="1" applyFont="1" applyFill="1" applyBorder="1" applyAlignment="1" applyProtection="1">
      <alignment horizontal="left" vertical="center" shrinkToFit="1"/>
    </xf>
    <xf numFmtId="171" fontId="4" fillId="25" borderId="218" xfId="0" applyNumberFormat="1" applyFont="1" applyFill="1" applyBorder="1" applyAlignment="1" applyProtection="1">
      <alignment horizontal="center" vertical="center" shrinkToFit="1"/>
    </xf>
    <xf numFmtId="49" fontId="4" fillId="25" borderId="229" xfId="0" applyNumberFormat="1" applyFont="1" applyFill="1" applyBorder="1" applyAlignment="1" applyProtection="1">
      <alignment horizontal="left" vertical="center" shrinkToFit="1"/>
    </xf>
    <xf numFmtId="49" fontId="4" fillId="25" borderId="225" xfId="0" applyNumberFormat="1" applyFont="1" applyFill="1" applyBorder="1" applyAlignment="1" applyProtection="1">
      <alignment horizontal="left" vertical="center" shrinkToFit="1"/>
    </xf>
    <xf numFmtId="170" fontId="4" fillId="25" borderId="219" xfId="0" applyNumberFormat="1" applyFont="1" applyFill="1" applyBorder="1" applyAlignment="1" applyProtection="1">
      <alignment horizontal="left" vertical="center" shrinkToFit="1"/>
    </xf>
    <xf numFmtId="170" fontId="4" fillId="25" borderId="220" xfId="0" applyNumberFormat="1" applyFont="1" applyFill="1" applyBorder="1" applyAlignment="1" applyProtection="1">
      <alignment horizontal="left" vertical="center" shrinkToFit="1"/>
    </xf>
    <xf numFmtId="0" fontId="4" fillId="25" borderId="227" xfId="0" applyNumberFormat="1" applyFont="1" applyFill="1" applyBorder="1" applyAlignment="1" applyProtection="1">
      <alignment horizontal="left" vertical="center" shrinkToFit="1"/>
      <protection locked="0"/>
    </xf>
    <xf numFmtId="0" fontId="4" fillId="25" borderId="271" xfId="0" applyNumberFormat="1" applyFont="1" applyFill="1" applyBorder="1" applyAlignment="1" applyProtection="1">
      <alignment horizontal="left" vertical="center" shrinkToFit="1"/>
      <protection locked="0"/>
    </xf>
    <xf numFmtId="171" fontId="4" fillId="25" borderId="271" xfId="0" applyNumberFormat="1" applyFont="1" applyFill="1" applyBorder="1" applyAlignment="1" applyProtection="1">
      <alignment horizontal="center" vertical="center" shrinkToFit="1"/>
      <protection locked="0"/>
    </xf>
    <xf numFmtId="171" fontId="4" fillId="25" borderId="271" xfId="0" applyNumberFormat="1" applyFont="1" applyFill="1" applyBorder="1" applyAlignment="1" applyProtection="1">
      <alignment horizontal="center" vertical="center" shrinkToFit="1"/>
    </xf>
    <xf numFmtId="49" fontId="4" fillId="25" borderId="229" xfId="0" applyNumberFormat="1" applyFont="1" applyFill="1" applyBorder="1" applyAlignment="1" applyProtection="1">
      <alignment horizontal="left" vertical="center"/>
    </xf>
    <xf numFmtId="49" fontId="4" fillId="25" borderId="219" xfId="0" applyNumberFormat="1" applyFont="1" applyFill="1" applyBorder="1" applyAlignment="1" applyProtection="1">
      <alignment horizontal="left" vertical="center"/>
    </xf>
    <xf numFmtId="167" fontId="4" fillId="25" borderId="158" xfId="0" applyNumberFormat="1" applyFont="1" applyFill="1" applyBorder="1" applyAlignment="1" applyProtection="1">
      <alignment horizontal="center" vertical="center" shrinkToFit="1"/>
    </xf>
    <xf numFmtId="171" fontId="4" fillId="0" borderId="236" xfId="0" applyNumberFormat="1" applyFont="1" applyFill="1" applyBorder="1" applyAlignment="1" applyProtection="1">
      <alignment horizontal="center" vertical="center" shrinkToFit="1"/>
    </xf>
    <xf numFmtId="171" fontId="4" fillId="0" borderId="242" xfId="0" applyNumberFormat="1" applyFont="1" applyFill="1" applyBorder="1" applyAlignment="1" applyProtection="1">
      <alignment horizontal="center" vertical="center" shrinkToFit="1"/>
    </xf>
    <xf numFmtId="171" fontId="4" fillId="25" borderId="236" xfId="0" applyNumberFormat="1" applyFont="1" applyFill="1" applyBorder="1" applyAlignment="1" applyProtection="1">
      <alignment horizontal="center" vertical="center" shrinkToFit="1"/>
    </xf>
    <xf numFmtId="171" fontId="4" fillId="25" borderId="242" xfId="0" applyNumberFormat="1" applyFont="1" applyFill="1" applyBorder="1" applyAlignment="1" applyProtection="1">
      <alignment horizontal="center" vertical="center" shrinkToFit="1"/>
    </xf>
    <xf numFmtId="171" fontId="4" fillId="25" borderId="137" xfId="0" applyNumberFormat="1" applyFont="1" applyFill="1" applyBorder="1" applyAlignment="1" applyProtection="1">
      <alignment horizontal="center" vertical="center" shrinkToFit="1"/>
    </xf>
    <xf numFmtId="171" fontId="4" fillId="0" borderId="27" xfId="0" applyNumberFormat="1" applyFont="1" applyFill="1" applyBorder="1" applyAlignment="1" applyProtection="1">
      <alignment horizontal="center" vertical="center" shrinkToFit="1"/>
    </xf>
    <xf numFmtId="171" fontId="4" fillId="0" borderId="63" xfId="0" applyNumberFormat="1" applyFont="1" applyFill="1" applyBorder="1" applyAlignment="1" applyProtection="1">
      <alignment horizontal="center" vertical="center" shrinkToFit="1"/>
    </xf>
    <xf numFmtId="171" fontId="4" fillId="25" borderId="247" xfId="0" applyNumberFormat="1" applyFont="1" applyFill="1" applyBorder="1" applyAlignment="1" applyProtection="1">
      <alignment horizontal="center" vertical="center" shrinkToFit="1"/>
    </xf>
    <xf numFmtId="171" fontId="4" fillId="0" borderId="247" xfId="0" applyNumberFormat="1" applyFont="1" applyFill="1" applyBorder="1" applyAlignment="1" applyProtection="1">
      <alignment horizontal="center" vertical="center" shrinkToFit="1"/>
    </xf>
    <xf numFmtId="171" fontId="4" fillId="25" borderId="245" xfId="0" applyNumberFormat="1" applyFont="1" applyFill="1" applyBorder="1" applyAlignment="1" applyProtection="1">
      <alignment horizontal="center" vertical="center" shrinkToFit="1"/>
    </xf>
    <xf numFmtId="171" fontId="4" fillId="25" borderId="248" xfId="0" applyNumberFormat="1" applyFont="1" applyFill="1" applyBorder="1" applyAlignment="1" applyProtection="1">
      <alignment horizontal="center" vertical="center" shrinkToFit="1"/>
    </xf>
    <xf numFmtId="49" fontId="4" fillId="0" borderId="129" xfId="0" applyNumberFormat="1" applyFont="1" applyFill="1" applyBorder="1" applyAlignment="1" applyProtection="1">
      <alignment horizontal="left" vertical="center" shrinkToFit="1"/>
      <protection locked="0"/>
    </xf>
    <xf numFmtId="49" fontId="4" fillId="0" borderId="158" xfId="0" applyNumberFormat="1" applyFont="1" applyFill="1" applyBorder="1" applyAlignment="1" applyProtection="1">
      <alignment horizontal="left" vertical="center" shrinkToFit="1"/>
      <protection locked="0"/>
    </xf>
    <xf numFmtId="167" fontId="4" fillId="0" borderId="158" xfId="0" applyNumberFormat="1" applyFont="1" applyFill="1" applyBorder="1" applyAlignment="1" applyProtection="1">
      <alignment horizontal="center" vertical="center" shrinkToFit="1"/>
    </xf>
    <xf numFmtId="171" fontId="4" fillId="0" borderId="251" xfId="0" applyNumberFormat="1" applyFont="1" applyFill="1" applyBorder="1" applyAlignment="1" applyProtection="1">
      <alignment horizontal="center" vertical="center" shrinkToFit="1"/>
    </xf>
    <xf numFmtId="0" fontId="4" fillId="0" borderId="306" xfId="0" applyNumberFormat="1" applyFont="1" applyFill="1" applyBorder="1" applyAlignment="1" applyProtection="1">
      <alignment horizontal="center" vertical="center" shrinkToFit="1"/>
    </xf>
    <xf numFmtId="0" fontId="4" fillId="0" borderId="310" xfId="0" applyNumberFormat="1" applyFont="1" applyFill="1" applyBorder="1" applyAlignment="1" applyProtection="1">
      <alignment horizontal="center" vertical="center" shrinkToFit="1"/>
    </xf>
    <xf numFmtId="171" fontId="4" fillId="25" borderId="246" xfId="0" applyNumberFormat="1" applyFont="1" applyFill="1" applyBorder="1" applyAlignment="1" applyProtection="1">
      <alignment horizontal="center" vertical="center" shrinkToFit="1"/>
    </xf>
    <xf numFmtId="171" fontId="4" fillId="0" borderId="24" xfId="0" applyNumberFormat="1" applyFont="1" applyFill="1" applyBorder="1" applyAlignment="1" applyProtection="1">
      <alignment horizontal="center" vertical="center" shrinkToFit="1"/>
    </xf>
    <xf numFmtId="171" fontId="4" fillId="25" borderId="251" xfId="0" applyNumberFormat="1" applyFont="1" applyFill="1" applyBorder="1" applyAlignment="1" applyProtection="1">
      <alignment horizontal="center" vertical="center" shrinkToFit="1"/>
    </xf>
    <xf numFmtId="172" fontId="5" fillId="25" borderId="251" xfId="0" applyNumberFormat="1" applyFont="1" applyFill="1" applyBorder="1" applyAlignment="1" applyProtection="1">
      <alignment horizontal="center" vertical="center" shrinkToFit="1"/>
    </xf>
    <xf numFmtId="171" fontId="4" fillId="0" borderId="209" xfId="0" applyNumberFormat="1" applyFont="1" applyFill="1" applyBorder="1" applyAlignment="1" applyProtection="1">
      <alignment horizontal="center" vertical="center" shrinkToFit="1"/>
    </xf>
    <xf numFmtId="172" fontId="5" fillId="0" borderId="209" xfId="0" applyNumberFormat="1" applyFont="1" applyFill="1" applyBorder="1" applyAlignment="1" applyProtection="1">
      <alignment horizontal="center" vertical="center" shrinkToFit="1"/>
    </xf>
    <xf numFmtId="172" fontId="4" fillId="0" borderId="251" xfId="0" applyNumberFormat="1" applyFont="1" applyFill="1" applyBorder="1" applyAlignment="1" applyProtection="1">
      <alignment horizontal="center" vertical="center" shrinkToFit="1"/>
      <protection locked="0"/>
    </xf>
    <xf numFmtId="1" fontId="4" fillId="0" borderId="223" xfId="0" applyNumberFormat="1" applyFont="1" applyFill="1" applyBorder="1" applyAlignment="1" applyProtection="1">
      <alignment horizontal="center" vertical="center" shrinkToFit="1"/>
      <protection locked="0"/>
    </xf>
    <xf numFmtId="1" fontId="4" fillId="0" borderId="224" xfId="0" applyNumberFormat="1" applyFont="1" applyFill="1" applyBorder="1" applyAlignment="1" applyProtection="1">
      <alignment horizontal="center" vertical="center" shrinkToFit="1"/>
      <protection locked="0"/>
    </xf>
    <xf numFmtId="49" fontId="3" fillId="7" borderId="15" xfId="0" applyNumberFormat="1" applyFont="1" applyFill="1" applyBorder="1" applyAlignment="1" applyProtection="1">
      <alignment horizontal="center" vertical="center" shrinkToFit="1"/>
    </xf>
    <xf numFmtId="49" fontId="3" fillId="7" borderId="13" xfId="0" applyNumberFormat="1" applyFont="1" applyFill="1" applyBorder="1" applyAlignment="1" applyProtection="1">
      <alignment horizontal="center" vertical="center" shrinkToFit="1"/>
    </xf>
    <xf numFmtId="49" fontId="10" fillId="25" borderId="9" xfId="0" applyNumberFormat="1" applyFont="1" applyFill="1" applyBorder="1" applyAlignment="1" applyProtection="1">
      <alignment horizontal="left" vertical="center" shrinkToFit="1"/>
    </xf>
    <xf numFmtId="49" fontId="4" fillId="0" borderId="142" xfId="0" applyNumberFormat="1" applyFont="1" applyFill="1" applyBorder="1" applyAlignment="1" applyProtection="1">
      <alignment horizontal="left" vertical="center" shrinkToFit="1"/>
    </xf>
    <xf numFmtId="49" fontId="4" fillId="25" borderId="142" xfId="0" applyNumberFormat="1" applyFont="1" applyFill="1" applyBorder="1" applyAlignment="1" applyProtection="1">
      <alignment horizontal="left" vertical="center" shrinkToFit="1"/>
    </xf>
    <xf numFmtId="171" fontId="4" fillId="25" borderId="137" xfId="0" applyNumberFormat="1" applyFont="1" applyFill="1" applyBorder="1" applyAlignment="1" applyProtection="1">
      <alignment horizontal="center" vertical="center" shrinkToFit="1"/>
      <protection locked="0"/>
    </xf>
    <xf numFmtId="0" fontId="4" fillId="25" borderId="22" xfId="0" applyNumberFormat="1" applyFont="1" applyFill="1" applyBorder="1" applyAlignment="1" applyProtection="1">
      <alignment horizontal="left" vertical="center" shrinkToFit="1"/>
    </xf>
    <xf numFmtId="0" fontId="4" fillId="25" borderId="4" xfId="0" applyNumberFormat="1" applyFont="1" applyFill="1" applyBorder="1" applyAlignment="1" applyProtection="1">
      <alignment horizontal="left" vertical="center" shrinkToFit="1"/>
    </xf>
    <xf numFmtId="171" fontId="4" fillId="0" borderId="401" xfId="0" applyNumberFormat="1" applyFont="1" applyFill="1" applyBorder="1" applyAlignment="1" applyProtection="1">
      <alignment horizontal="center" vertical="center" shrinkToFit="1"/>
      <protection locked="0"/>
    </xf>
    <xf numFmtId="171" fontId="4" fillId="0" borderId="401" xfId="0" applyNumberFormat="1" applyFont="1" applyFill="1" applyBorder="1" applyAlignment="1" applyProtection="1">
      <alignment horizontal="center" vertical="center" shrinkToFit="1"/>
    </xf>
    <xf numFmtId="171" fontId="5" fillId="0" borderId="401" xfId="0" applyNumberFormat="1" applyFont="1" applyFill="1" applyBorder="1" applyAlignment="1" applyProtection="1">
      <alignment horizontal="center" vertical="center" shrinkToFit="1"/>
    </xf>
    <xf numFmtId="1" fontId="4" fillId="0" borderId="404" xfId="0" applyNumberFormat="1" applyFont="1" applyFill="1" applyBorder="1" applyAlignment="1" applyProtection="1">
      <alignment horizontal="center" vertical="center" shrinkToFit="1"/>
      <protection locked="0"/>
    </xf>
    <xf numFmtId="171" fontId="5" fillId="0" borderId="137" xfId="0" applyNumberFormat="1" applyFont="1" applyFill="1" applyBorder="1" applyAlignment="1" applyProtection="1">
      <alignment horizontal="center" vertical="center" shrinkToFit="1"/>
    </xf>
    <xf numFmtId="171" fontId="5" fillId="25" borderId="137" xfId="0" applyNumberFormat="1" applyFont="1" applyFill="1" applyBorder="1" applyAlignment="1" applyProtection="1">
      <alignment horizontal="center" vertical="center" shrinkToFit="1"/>
    </xf>
    <xf numFmtId="1" fontId="4" fillId="0" borderId="138" xfId="0" applyNumberFormat="1" applyFont="1" applyFill="1" applyBorder="1" applyAlignment="1" applyProtection="1">
      <alignment horizontal="center" vertical="center" shrinkToFit="1"/>
      <protection locked="0"/>
    </xf>
    <xf numFmtId="1" fontId="4" fillId="25" borderId="138" xfId="0" applyNumberFormat="1" applyFont="1" applyFill="1" applyBorder="1" applyAlignment="1" applyProtection="1">
      <alignment horizontal="center" vertical="center" shrinkToFit="1"/>
      <protection locked="0"/>
    </xf>
    <xf numFmtId="171" fontId="5" fillId="25" borderId="5" xfId="0" applyNumberFormat="1" applyFont="1" applyFill="1" applyBorder="1" applyAlignment="1" applyProtection="1">
      <alignment horizontal="center" vertical="center" shrinkToFit="1"/>
    </xf>
    <xf numFmtId="1" fontId="4" fillId="25" borderId="226" xfId="0" applyNumberFormat="1" applyFont="1" applyFill="1" applyBorder="1" applyAlignment="1" applyProtection="1">
      <alignment horizontal="center" vertical="center" shrinkToFit="1"/>
    </xf>
    <xf numFmtId="1" fontId="4" fillId="0" borderId="141" xfId="0" applyNumberFormat="1" applyFont="1" applyFill="1" applyBorder="1" applyAlignment="1" applyProtection="1">
      <alignment horizontal="center" vertical="center" shrinkToFit="1"/>
    </xf>
    <xf numFmtId="1" fontId="4" fillId="25" borderId="144" xfId="0" applyNumberFormat="1" applyFont="1" applyFill="1" applyBorder="1" applyAlignment="1" applyProtection="1">
      <alignment horizontal="center" vertical="center" shrinkToFit="1"/>
    </xf>
    <xf numFmtId="171" fontId="5" fillId="0" borderId="1" xfId="0" applyNumberFormat="1" applyFont="1" applyFill="1" applyBorder="1" applyAlignment="1" applyProtection="1">
      <alignment horizontal="center" vertical="center" shrinkToFit="1"/>
    </xf>
    <xf numFmtId="1" fontId="4" fillId="0" borderId="18" xfId="0" applyNumberFormat="1" applyFont="1" applyFill="1" applyBorder="1" applyAlignment="1" applyProtection="1">
      <alignment horizontal="center" vertical="center" shrinkToFit="1"/>
    </xf>
    <xf numFmtId="171" fontId="5" fillId="25" borderId="143" xfId="0" applyNumberFormat="1" applyFont="1" applyFill="1" applyBorder="1" applyAlignment="1" applyProtection="1">
      <alignment horizontal="center" vertical="center" shrinkToFit="1"/>
    </xf>
    <xf numFmtId="171" fontId="4" fillId="25" borderId="143" xfId="0" applyNumberFormat="1" applyFont="1" applyFill="1" applyBorder="1" applyAlignment="1" applyProtection="1">
      <alignment horizontal="center" vertical="center" shrinkToFit="1"/>
    </xf>
    <xf numFmtId="171" fontId="5" fillId="7" borderId="65" xfId="0" applyNumberFormat="1" applyFont="1" applyFill="1" applyBorder="1" applyAlignment="1" applyProtection="1">
      <alignment horizontal="center" vertical="center" shrinkToFit="1"/>
    </xf>
    <xf numFmtId="0" fontId="4" fillId="0" borderId="6" xfId="0" applyNumberFormat="1" applyFont="1" applyFill="1" applyBorder="1" applyAlignment="1" applyProtection="1">
      <alignment horizontal="left" vertical="center" shrinkToFit="1"/>
    </xf>
    <xf numFmtId="171" fontId="4" fillId="0" borderId="5" xfId="0" applyNumberFormat="1" applyFont="1" applyFill="1" applyBorder="1" applyAlignment="1" applyProtection="1">
      <alignment horizontal="center" vertical="center" shrinkToFit="1"/>
    </xf>
    <xf numFmtId="1" fontId="5" fillId="7" borderId="66" xfId="0" applyNumberFormat="1" applyFont="1" applyFill="1" applyBorder="1" applyAlignment="1" applyProtection="1">
      <alignment horizontal="center" vertical="center" shrinkToFit="1"/>
    </xf>
    <xf numFmtId="171" fontId="5" fillId="0" borderId="5" xfId="0" applyNumberFormat="1" applyFont="1" applyFill="1" applyBorder="1" applyAlignment="1" applyProtection="1">
      <alignment horizontal="center" vertical="center" shrinkToFit="1"/>
    </xf>
    <xf numFmtId="1" fontId="4" fillId="0" borderId="17" xfId="0" applyNumberFormat="1" applyFont="1" applyFill="1" applyBorder="1" applyAlignment="1" applyProtection="1">
      <alignment horizontal="center" vertical="center" shrinkToFit="1"/>
    </xf>
    <xf numFmtId="49" fontId="4" fillId="0" borderId="85" xfId="0" applyNumberFormat="1" applyFont="1" applyFill="1" applyBorder="1" applyAlignment="1" applyProtection="1">
      <alignment horizontal="center" vertical="center" shrinkToFit="1"/>
    </xf>
    <xf numFmtId="49" fontId="4" fillId="0" borderId="86" xfId="0" applyNumberFormat="1" applyFont="1" applyFill="1" applyBorder="1" applyAlignment="1" applyProtection="1">
      <alignment horizontal="center" vertical="center" shrinkToFit="1"/>
    </xf>
    <xf numFmtId="49" fontId="4" fillId="0" borderId="87" xfId="0" applyNumberFormat="1" applyFont="1" applyFill="1" applyBorder="1" applyAlignment="1" applyProtection="1">
      <alignment horizontal="center" vertical="center" shrinkToFit="1"/>
    </xf>
    <xf numFmtId="49" fontId="4" fillId="0" borderId="225" xfId="0" applyNumberFormat="1" applyFont="1" applyFill="1" applyBorder="1" applyAlignment="1" applyProtection="1">
      <alignment horizontal="left" vertical="center" shrinkToFit="1"/>
      <protection locked="0"/>
    </xf>
    <xf numFmtId="0" fontId="4" fillId="0" borderId="401" xfId="0" applyFont="1" applyFill="1" applyBorder="1" applyAlignment="1" applyProtection="1">
      <alignment horizontal="center" vertical="center" shrinkToFit="1"/>
      <protection locked="0"/>
    </xf>
    <xf numFmtId="0" fontId="4" fillId="0" borderId="404" xfId="0" applyFont="1" applyFill="1" applyBorder="1" applyAlignment="1" applyProtection="1">
      <alignment horizontal="center" vertical="center" shrinkToFit="1"/>
      <protection locked="0"/>
    </xf>
    <xf numFmtId="49" fontId="3" fillId="6" borderId="212" xfId="0" applyNumberFormat="1" applyFont="1" applyFill="1" applyBorder="1" applyAlignment="1" applyProtection="1">
      <alignment horizontal="left" vertical="center" shrinkToFit="1"/>
    </xf>
    <xf numFmtId="49" fontId="3" fillId="6" borderId="213" xfId="0" applyNumberFormat="1" applyFont="1" applyFill="1" applyBorder="1" applyAlignment="1" applyProtection="1">
      <alignment horizontal="left" vertical="center" shrinkToFit="1"/>
    </xf>
    <xf numFmtId="49" fontId="3" fillId="6" borderId="214" xfId="0" applyNumberFormat="1" applyFont="1" applyFill="1" applyBorder="1" applyAlignment="1" applyProtection="1">
      <alignment horizontal="left" vertical="center" shrinkToFit="1"/>
    </xf>
    <xf numFmtId="1" fontId="4" fillId="25" borderId="18" xfId="0" applyNumberFormat="1" applyFont="1" applyFill="1" applyBorder="1" applyAlignment="1" applyProtection="1">
      <alignment horizontal="center" vertical="center" shrinkToFit="1"/>
    </xf>
    <xf numFmtId="171" fontId="5" fillId="25" borderId="1" xfId="0" applyNumberFormat="1" applyFont="1" applyFill="1" applyBorder="1" applyAlignment="1" applyProtection="1">
      <alignment horizontal="center" vertical="center" shrinkToFit="1"/>
    </xf>
    <xf numFmtId="49" fontId="5" fillId="7" borderId="64" xfId="0" applyNumberFormat="1" applyFont="1" applyFill="1" applyBorder="1" applyAlignment="1" applyProtection="1">
      <alignment horizontal="left" vertical="center" shrinkToFit="1"/>
    </xf>
    <xf numFmtId="0" fontId="4" fillId="25" borderId="142" xfId="0" applyNumberFormat="1" applyFont="1" applyFill="1" applyBorder="1" applyAlignment="1" applyProtection="1">
      <alignment horizontal="left" vertical="center" shrinkToFit="1"/>
    </xf>
    <xf numFmtId="49" fontId="4" fillId="25" borderId="225" xfId="0" applyNumberFormat="1" applyFont="1" applyFill="1" applyBorder="1" applyAlignment="1" applyProtection="1">
      <alignment horizontal="left" vertical="center" shrinkToFit="1"/>
      <protection locked="0"/>
    </xf>
    <xf numFmtId="171" fontId="4" fillId="25" borderId="1" xfId="0" applyNumberFormat="1" applyFont="1" applyFill="1" applyBorder="1" applyAlignment="1" applyProtection="1">
      <alignment horizontal="center" vertical="center" shrinkToFit="1"/>
    </xf>
    <xf numFmtId="171" fontId="5" fillId="0" borderId="140" xfId="0" applyNumberFormat="1" applyFont="1" applyFill="1" applyBorder="1" applyAlignment="1" applyProtection="1">
      <alignment horizontal="center" vertical="center" shrinkToFit="1"/>
    </xf>
    <xf numFmtId="171" fontId="5" fillId="25" borderId="218" xfId="0" applyNumberFormat="1" applyFont="1" applyFill="1" applyBorder="1" applyAlignment="1" applyProtection="1">
      <alignment horizontal="center" vertical="center" shrinkToFit="1"/>
      <protection locked="0"/>
    </xf>
    <xf numFmtId="171" fontId="4" fillId="0" borderId="140" xfId="0" applyNumberFormat="1" applyFont="1" applyFill="1" applyBorder="1" applyAlignment="1" applyProtection="1">
      <alignment horizontal="center" vertical="center" shrinkToFit="1"/>
    </xf>
    <xf numFmtId="0" fontId="4" fillId="0" borderId="222" xfId="0" applyNumberFormat="1" applyFont="1" applyFill="1" applyBorder="1" applyAlignment="1" applyProtection="1">
      <alignment horizontal="left" vertical="center" shrinkToFit="1"/>
    </xf>
    <xf numFmtId="0" fontId="4" fillId="0" borderId="223" xfId="0" applyNumberFormat="1" applyFont="1" applyFill="1" applyBorder="1" applyAlignment="1" applyProtection="1">
      <alignment horizontal="left" vertical="center" shrinkToFit="1"/>
    </xf>
    <xf numFmtId="171" fontId="4" fillId="0" borderId="223" xfId="0" applyNumberFormat="1" applyFont="1" applyFill="1" applyBorder="1" applyAlignment="1" applyProtection="1">
      <alignment horizontal="center" vertical="center" shrinkToFit="1"/>
      <protection locked="0"/>
    </xf>
    <xf numFmtId="171" fontId="4" fillId="0" borderId="223" xfId="0" applyNumberFormat="1" applyFont="1" applyFill="1" applyBorder="1" applyAlignment="1" applyProtection="1">
      <alignment horizontal="center" vertical="center" shrinkToFit="1"/>
    </xf>
    <xf numFmtId="1" fontId="4" fillId="25" borderId="17" xfId="0" applyNumberFormat="1" applyFont="1" applyFill="1" applyBorder="1" applyAlignment="1" applyProtection="1">
      <alignment horizontal="center" vertical="center" shrinkToFit="1"/>
      <protection locked="0"/>
    </xf>
    <xf numFmtId="171" fontId="4" fillId="25" borderId="5" xfId="0" applyNumberFormat="1" applyFont="1" applyFill="1" applyBorder="1" applyAlignment="1" applyProtection="1">
      <alignment horizontal="center" vertical="center" shrinkToFit="1"/>
    </xf>
    <xf numFmtId="0" fontId="4" fillId="25" borderId="8" xfId="0" applyNumberFormat="1" applyFont="1" applyFill="1" applyBorder="1" applyAlignment="1" applyProtection="1">
      <alignment horizontal="left" vertical="center" shrinkToFit="1"/>
    </xf>
    <xf numFmtId="171" fontId="4" fillId="0" borderId="137" xfId="0" applyNumberFormat="1" applyFont="1" applyFill="1" applyBorder="1" applyAlignment="1" applyProtection="1">
      <alignment horizontal="center" vertical="center" shrinkToFit="1"/>
      <protection locked="0"/>
    </xf>
    <xf numFmtId="171" fontId="4" fillId="0" borderId="137" xfId="0" applyNumberFormat="1" applyFont="1" applyFill="1" applyBorder="1" applyAlignment="1" applyProtection="1">
      <alignment horizontal="center" vertical="center" shrinkToFit="1"/>
    </xf>
    <xf numFmtId="49" fontId="4" fillId="25" borderId="31" xfId="0" applyNumberFormat="1" applyFont="1" applyFill="1" applyBorder="1" applyAlignment="1" applyProtection="1">
      <alignment horizontal="left" vertical="center"/>
    </xf>
    <xf numFmtId="49" fontId="4" fillId="25" borderId="22" xfId="0" applyNumberFormat="1" applyFont="1" applyFill="1" applyBorder="1" applyAlignment="1" applyProtection="1">
      <alignment horizontal="left" vertical="center"/>
    </xf>
    <xf numFmtId="0" fontId="4" fillId="0" borderId="136" xfId="0" applyNumberFormat="1" applyFont="1" applyFill="1" applyBorder="1" applyAlignment="1" applyProtection="1">
      <alignment horizontal="left" vertical="center" shrinkToFit="1"/>
    </xf>
    <xf numFmtId="49" fontId="4" fillId="25" borderId="136" xfId="0" applyNumberFormat="1" applyFont="1" applyFill="1" applyBorder="1" applyAlignment="1" applyProtection="1">
      <alignment horizontal="left" vertical="center" shrinkToFit="1"/>
    </xf>
    <xf numFmtId="49" fontId="4" fillId="25" borderId="139" xfId="0" applyNumberFormat="1" applyFont="1" applyFill="1" applyBorder="1" applyAlignment="1" applyProtection="1">
      <alignment horizontal="left" vertical="center" shrinkToFit="1"/>
    </xf>
    <xf numFmtId="171" fontId="4" fillId="25" borderId="140" xfId="0" applyNumberFormat="1" applyFont="1" applyFill="1" applyBorder="1" applyAlignment="1" applyProtection="1">
      <alignment horizontal="center" vertical="center" shrinkToFit="1"/>
      <protection locked="0"/>
    </xf>
    <xf numFmtId="171" fontId="4" fillId="25" borderId="140" xfId="0" applyNumberFormat="1" applyFont="1" applyFill="1" applyBorder="1" applyAlignment="1" applyProtection="1">
      <alignment horizontal="center" vertical="center" shrinkToFit="1"/>
    </xf>
    <xf numFmtId="171" fontId="5" fillId="25" borderId="140" xfId="0" applyNumberFormat="1" applyFont="1" applyFill="1" applyBorder="1" applyAlignment="1" applyProtection="1">
      <alignment horizontal="center" vertical="center" shrinkToFit="1"/>
    </xf>
    <xf numFmtId="1" fontId="4" fillId="25" borderId="141" xfId="0" applyNumberFormat="1" applyFont="1" applyFill="1" applyBorder="1" applyAlignment="1" applyProtection="1">
      <alignment horizontal="center" vertical="center" shrinkToFit="1"/>
      <protection locked="0"/>
    </xf>
    <xf numFmtId="0" fontId="4" fillId="0" borderId="8" xfId="0" applyNumberFormat="1" applyFont="1" applyFill="1" applyBorder="1" applyAlignment="1" applyProtection="1">
      <alignment horizontal="left" vertical="center" shrinkToFit="1"/>
    </xf>
    <xf numFmtId="171" fontId="4" fillId="0" borderId="1" xfId="0" applyNumberFormat="1" applyFont="1" applyFill="1" applyBorder="1" applyAlignment="1" applyProtection="1">
      <alignment horizontal="center" vertical="center" shrinkToFit="1"/>
    </xf>
    <xf numFmtId="0" fontId="4" fillId="0" borderId="225" xfId="0" applyNumberFormat="1" applyFont="1" applyFill="1" applyBorder="1" applyAlignment="1" applyProtection="1">
      <alignment horizontal="left" vertical="center" shrinkToFit="1"/>
    </xf>
    <xf numFmtId="170" fontId="4" fillId="25" borderId="219" xfId="0" applyNumberFormat="1" applyFont="1" applyFill="1" applyBorder="1" applyAlignment="1" applyProtection="1">
      <alignment horizontal="left" vertical="center"/>
    </xf>
    <xf numFmtId="170" fontId="4" fillId="25" borderId="220" xfId="0" applyNumberFormat="1" applyFont="1" applyFill="1" applyBorder="1" applyAlignment="1" applyProtection="1">
      <alignment horizontal="left" vertical="center"/>
    </xf>
    <xf numFmtId="49" fontId="3" fillId="7" borderId="12" xfId="0" applyNumberFormat="1" applyFont="1" applyFill="1" applyBorder="1" applyAlignment="1" applyProtection="1">
      <alignment horizontal="left" vertical="center" shrinkToFit="1"/>
    </xf>
    <xf numFmtId="171" fontId="4" fillId="25" borderId="266" xfId="0" applyNumberFormat="1" applyFont="1" applyFill="1" applyBorder="1" applyAlignment="1" applyProtection="1">
      <alignment horizontal="center" vertical="center" shrinkToFit="1"/>
    </xf>
    <xf numFmtId="172" fontId="4" fillId="25" borderId="255" xfId="0" applyNumberFormat="1" applyFont="1" applyFill="1" applyBorder="1" applyAlignment="1" applyProtection="1">
      <alignment horizontal="center" vertical="center" shrinkToFit="1"/>
      <protection locked="0"/>
    </xf>
    <xf numFmtId="172" fontId="5" fillId="25" borderId="326" xfId="0" applyNumberFormat="1" applyFont="1" applyFill="1" applyBorder="1" applyAlignment="1" applyProtection="1">
      <alignment horizontal="center" vertical="center" shrinkToFit="1"/>
    </xf>
    <xf numFmtId="49" fontId="4" fillId="25" borderId="26" xfId="0" applyNumberFormat="1" applyFont="1" applyFill="1" applyBorder="1" applyAlignment="1" applyProtection="1">
      <alignment horizontal="left" vertical="center" shrinkToFit="1"/>
    </xf>
    <xf numFmtId="49" fontId="4" fillId="0" borderId="403" xfId="0" applyNumberFormat="1" applyFont="1" applyFill="1" applyBorder="1" applyAlignment="1" applyProtection="1">
      <alignment horizontal="center" vertical="center" shrinkToFit="1"/>
      <protection locked="0"/>
    </xf>
    <xf numFmtId="49" fontId="4" fillId="0" borderId="400" xfId="0" applyNumberFormat="1" applyFont="1" applyFill="1" applyBorder="1" applyAlignment="1" applyProtection="1">
      <alignment horizontal="center" vertical="center" shrinkToFit="1"/>
      <protection locked="0"/>
    </xf>
    <xf numFmtId="49" fontId="4" fillId="0" borderId="402" xfId="0" applyNumberFormat="1" applyFont="1" applyFill="1" applyBorder="1" applyAlignment="1" applyProtection="1">
      <alignment horizontal="left" vertical="center" shrinkToFit="1"/>
    </xf>
    <xf numFmtId="49" fontId="4" fillId="0" borderId="403" xfId="0" applyNumberFormat="1" applyFont="1" applyFill="1" applyBorder="1" applyAlignment="1" applyProtection="1">
      <alignment horizontal="left" vertical="center" shrinkToFit="1"/>
    </xf>
    <xf numFmtId="171" fontId="4" fillId="25" borderId="5" xfId="0" applyNumberFormat="1" applyFont="1" applyFill="1" applyBorder="1" applyAlignment="1" applyProtection="1">
      <alignment horizontal="center" vertical="center" shrinkToFit="1"/>
      <protection locked="0"/>
    </xf>
    <xf numFmtId="49" fontId="10" fillId="25" borderId="8" xfId="0" applyNumberFormat="1" applyFont="1" applyFill="1" applyBorder="1" applyAlignment="1" applyProtection="1">
      <alignment horizontal="left" vertical="center" shrinkToFit="1"/>
    </xf>
    <xf numFmtId="0" fontId="4" fillId="25" borderId="5" xfId="0" applyNumberFormat="1" applyFont="1" applyFill="1" applyBorder="1" applyAlignment="1" applyProtection="1">
      <alignment horizontal="center" vertical="center" shrinkToFit="1"/>
    </xf>
    <xf numFmtId="0" fontId="4" fillId="25" borderId="1" xfId="0" applyNumberFormat="1" applyFont="1" applyFill="1" applyBorder="1" applyAlignment="1" applyProtection="1">
      <alignment horizontal="center" vertical="center" shrinkToFit="1"/>
    </xf>
    <xf numFmtId="1" fontId="4" fillId="25" borderId="1" xfId="0" applyNumberFormat="1" applyFont="1" applyFill="1" applyBorder="1" applyAlignment="1" applyProtection="1">
      <alignment horizontal="center" vertical="center" shrinkToFit="1"/>
    </xf>
    <xf numFmtId="1" fontId="4" fillId="0" borderId="1" xfId="0" applyNumberFormat="1" applyFont="1" applyFill="1" applyBorder="1" applyAlignment="1" applyProtection="1">
      <alignment horizontal="center" vertical="center" shrinkToFit="1"/>
    </xf>
    <xf numFmtId="0" fontId="4" fillId="25" borderId="20" xfId="0" applyNumberFormat="1" applyFont="1" applyFill="1" applyBorder="1" applyAlignment="1" applyProtection="1">
      <alignment horizontal="center" vertical="center" shrinkToFit="1"/>
    </xf>
    <xf numFmtId="1" fontId="4" fillId="25" borderId="20" xfId="0" applyNumberFormat="1" applyFont="1" applyFill="1" applyBorder="1" applyAlignment="1" applyProtection="1">
      <alignment horizontal="center" vertical="center" shrinkToFit="1"/>
    </xf>
    <xf numFmtId="0" fontId="4" fillId="25" borderId="306" xfId="0" applyNumberFormat="1" applyFont="1" applyFill="1" applyBorder="1" applyAlignment="1" applyProtection="1">
      <alignment horizontal="center" vertical="center" shrinkToFit="1"/>
    </xf>
    <xf numFmtId="0" fontId="4" fillId="25" borderId="310" xfId="0" applyNumberFormat="1" applyFont="1" applyFill="1" applyBorder="1" applyAlignment="1" applyProtection="1">
      <alignment horizontal="center" vertical="center" shrinkToFit="1"/>
    </xf>
    <xf numFmtId="0" fontId="4" fillId="0" borderId="5" xfId="0" applyNumberFormat="1" applyFont="1" applyFill="1" applyBorder="1" applyAlignment="1" applyProtection="1">
      <alignment horizontal="center" vertical="center" shrinkToFit="1"/>
    </xf>
    <xf numFmtId="0" fontId="4" fillId="25" borderId="307" xfId="0" applyNumberFormat="1" applyFont="1" applyFill="1" applyBorder="1" applyAlignment="1" applyProtection="1">
      <alignment horizontal="center" vertical="center" shrinkToFit="1"/>
    </xf>
    <xf numFmtId="0" fontId="4" fillId="25" borderId="311" xfId="0" applyNumberFormat="1" applyFont="1" applyFill="1" applyBorder="1" applyAlignment="1" applyProtection="1">
      <alignment horizontal="center" vertical="center" shrinkToFit="1"/>
    </xf>
    <xf numFmtId="49" fontId="4" fillId="25" borderId="6" xfId="0" applyNumberFormat="1" applyFont="1" applyFill="1" applyBorder="1" applyAlignment="1" applyProtection="1">
      <alignment horizontal="left" vertical="center" shrinkToFit="1"/>
    </xf>
    <xf numFmtId="49" fontId="10" fillId="0" borderId="8" xfId="0" applyNumberFormat="1" applyFont="1" applyFill="1" applyBorder="1" applyAlignment="1" applyProtection="1">
      <alignment horizontal="left" vertical="center" shrinkToFit="1"/>
    </xf>
    <xf numFmtId="49" fontId="4" fillId="0" borderId="8" xfId="0" applyNumberFormat="1" applyFont="1" applyFill="1" applyBorder="1" applyAlignment="1" applyProtection="1">
      <alignment horizontal="left" vertical="center" shrinkToFit="1"/>
    </xf>
    <xf numFmtId="169" fontId="4" fillId="0" borderId="305" xfId="0" applyNumberFormat="1" applyFont="1" applyFill="1" applyBorder="1" applyAlignment="1" applyProtection="1">
      <alignment horizontal="center" vertical="center" shrinkToFit="1"/>
    </xf>
    <xf numFmtId="169" fontId="4" fillId="0" borderId="309" xfId="0" applyNumberFormat="1" applyFont="1" applyFill="1" applyBorder="1" applyAlignment="1" applyProtection="1">
      <alignment horizontal="center" vertical="center" shrinkToFit="1"/>
    </xf>
    <xf numFmtId="167" fontId="4" fillId="25" borderId="266" xfId="0" applyNumberFormat="1" applyFont="1" applyFill="1" applyBorder="1" applyAlignment="1" applyProtection="1">
      <alignment horizontal="center" vertical="center" shrinkToFit="1"/>
      <protection locked="0"/>
    </xf>
    <xf numFmtId="0" fontId="4" fillId="25" borderId="91" xfId="0" applyNumberFormat="1" applyFont="1" applyFill="1" applyBorder="1" applyAlignment="1" applyProtection="1">
      <alignment horizontal="center" vertical="center" shrinkToFit="1"/>
    </xf>
    <xf numFmtId="0" fontId="4" fillId="25" borderId="94" xfId="0" applyNumberFormat="1" applyFont="1" applyFill="1" applyBorder="1" applyAlignment="1" applyProtection="1">
      <alignment horizontal="center" vertical="center" shrinkToFit="1"/>
    </xf>
    <xf numFmtId="1" fontId="4" fillId="25" borderId="119" xfId="0" applyNumberFormat="1" applyFont="1" applyFill="1" applyBorder="1" applyAlignment="1" applyProtection="1">
      <alignment horizontal="center" vertical="center" shrinkToFit="1"/>
      <protection locked="0"/>
    </xf>
    <xf numFmtId="1" fontId="4" fillId="25" borderId="91" xfId="0" applyNumberFormat="1" applyFont="1" applyFill="1" applyBorder="1" applyAlignment="1" applyProtection="1">
      <alignment horizontal="center" vertical="center" shrinkToFit="1"/>
      <protection locked="0"/>
    </xf>
    <xf numFmtId="0" fontId="5" fillId="25" borderId="172" xfId="0" applyNumberFormat="1" applyFont="1" applyFill="1" applyBorder="1" applyAlignment="1" applyProtection="1">
      <alignment horizontal="center" vertical="center" shrinkToFit="1"/>
    </xf>
    <xf numFmtId="171" fontId="5" fillId="25" borderId="394" xfId="0" applyNumberFormat="1" applyFont="1" applyFill="1" applyBorder="1" applyAlignment="1" applyProtection="1">
      <alignment horizontal="center" vertical="center" shrinkToFit="1"/>
    </xf>
    <xf numFmtId="49" fontId="3" fillId="7" borderId="86" xfId="0" applyNumberFormat="1" applyFont="1" applyFill="1" applyBorder="1" applyAlignment="1" applyProtection="1">
      <alignment horizontal="center" vertical="center" shrinkToFit="1"/>
    </xf>
    <xf numFmtId="172" fontId="4" fillId="0" borderId="209" xfId="0" applyNumberFormat="1" applyFont="1" applyFill="1" applyBorder="1" applyAlignment="1" applyProtection="1">
      <alignment horizontal="center" vertical="center" shrinkToFit="1"/>
      <protection locked="0"/>
    </xf>
    <xf numFmtId="172" fontId="5" fillId="0" borderId="251" xfId="0" applyNumberFormat="1" applyFont="1" applyFill="1" applyBorder="1" applyAlignment="1" applyProtection="1">
      <alignment horizontal="center" vertical="center" shrinkToFit="1"/>
    </xf>
    <xf numFmtId="172" fontId="4" fillId="25" borderId="251" xfId="0" applyNumberFormat="1" applyFont="1" applyFill="1" applyBorder="1" applyAlignment="1" applyProtection="1">
      <alignment horizontal="center" vertical="center" shrinkToFit="1"/>
      <protection locked="0"/>
    </xf>
    <xf numFmtId="49" fontId="4" fillId="25" borderId="8" xfId="0" applyNumberFormat="1" applyFont="1" applyFill="1" applyBorder="1" applyAlignment="1" applyProtection="1">
      <alignment horizontal="left" vertical="center" shrinkToFit="1"/>
    </xf>
    <xf numFmtId="169" fontId="4" fillId="25" borderId="306" xfId="0" applyNumberFormat="1" applyFont="1" applyFill="1" applyBorder="1" applyAlignment="1" applyProtection="1">
      <alignment horizontal="center" vertical="center" shrinkToFit="1"/>
    </xf>
    <xf numFmtId="169" fontId="4" fillId="25" borderId="310" xfId="0" applyNumberFormat="1" applyFont="1" applyFill="1" applyBorder="1" applyAlignment="1" applyProtection="1">
      <alignment horizontal="center" vertical="center" shrinkToFit="1"/>
    </xf>
    <xf numFmtId="49" fontId="3" fillId="7" borderId="87" xfId="0" applyNumberFormat="1" applyFont="1" applyFill="1" applyBorder="1" applyAlignment="1" applyProtection="1">
      <alignment horizontal="center" vertical="center" shrinkToFit="1"/>
    </xf>
    <xf numFmtId="0" fontId="4" fillId="0" borderId="305" xfId="0" applyNumberFormat="1" applyFont="1" applyFill="1" applyBorder="1" applyAlignment="1" applyProtection="1">
      <alignment horizontal="center" vertical="center" shrinkToFit="1"/>
    </xf>
    <xf numFmtId="0" fontId="4" fillId="0" borderId="309" xfId="0" applyNumberFormat="1" applyFont="1" applyFill="1" applyBorder="1" applyAlignment="1" applyProtection="1">
      <alignment horizontal="center" vertical="center" shrinkToFit="1"/>
    </xf>
    <xf numFmtId="0" fontId="4" fillId="25" borderId="67" xfId="0" applyNumberFormat="1" applyFont="1" applyFill="1" applyBorder="1" applyAlignment="1" applyProtection="1">
      <alignment horizontal="center" vertical="center" shrinkToFit="1"/>
    </xf>
    <xf numFmtId="0" fontId="4" fillId="25" borderId="106" xfId="0" applyNumberFormat="1" applyFont="1" applyFill="1" applyBorder="1" applyAlignment="1" applyProtection="1">
      <alignment horizontal="center" vertical="center" shrinkToFit="1"/>
    </xf>
    <xf numFmtId="0" fontId="4" fillId="25" borderId="69" xfId="0" applyNumberFormat="1" applyFont="1" applyFill="1" applyBorder="1" applyAlignment="1" applyProtection="1">
      <alignment horizontal="center" vertical="center" shrinkToFit="1"/>
    </xf>
    <xf numFmtId="0" fontId="4" fillId="25" borderId="49" xfId="0" applyNumberFormat="1" applyFont="1" applyFill="1" applyBorder="1" applyAlignment="1" applyProtection="1">
      <alignment horizontal="center" vertical="center" shrinkToFit="1"/>
    </xf>
    <xf numFmtId="171" fontId="5" fillId="25" borderId="69" xfId="0" applyNumberFormat="1" applyFont="1" applyFill="1" applyBorder="1" applyAlignment="1" applyProtection="1">
      <alignment horizontal="center" vertical="center" shrinkToFit="1"/>
    </xf>
    <xf numFmtId="171" fontId="5" fillId="25" borderId="49" xfId="0" applyNumberFormat="1" applyFont="1" applyFill="1" applyBorder="1" applyAlignment="1" applyProtection="1">
      <alignment horizontal="center" vertical="center" shrinkToFit="1"/>
    </xf>
    <xf numFmtId="0" fontId="5" fillId="25" borderId="49" xfId="0" applyNumberFormat="1" applyFont="1" applyFill="1" applyBorder="1" applyAlignment="1" applyProtection="1">
      <alignment horizontal="center" vertical="center" shrinkToFit="1"/>
    </xf>
    <xf numFmtId="171" fontId="5" fillId="0" borderId="69" xfId="0" applyNumberFormat="1" applyFont="1" applyFill="1" applyBorder="1" applyAlignment="1" applyProtection="1">
      <alignment horizontal="center" vertical="center" shrinkToFit="1"/>
    </xf>
    <xf numFmtId="171" fontId="5" fillId="0" borderId="49" xfId="0" applyNumberFormat="1" applyFont="1" applyFill="1" applyBorder="1" applyAlignment="1" applyProtection="1">
      <alignment horizontal="center" vertical="center" shrinkToFit="1"/>
    </xf>
    <xf numFmtId="0" fontId="5" fillId="0" borderId="49" xfId="0" applyNumberFormat="1" applyFont="1" applyFill="1" applyBorder="1" applyAlignment="1" applyProtection="1">
      <alignment horizontal="center" vertical="center" shrinkToFit="1"/>
    </xf>
    <xf numFmtId="0" fontId="4" fillId="0" borderId="49" xfId="0" applyNumberFormat="1" applyFont="1" applyFill="1" applyBorder="1" applyAlignment="1" applyProtection="1">
      <alignment horizontal="center" vertical="center" shrinkToFit="1"/>
    </xf>
    <xf numFmtId="1" fontId="4" fillId="0" borderId="108" xfId="0" applyNumberFormat="1" applyFont="1" applyFill="1" applyBorder="1" applyAlignment="1" applyProtection="1">
      <alignment horizontal="center" vertical="center" shrinkToFit="1"/>
      <protection locked="0"/>
    </xf>
    <xf numFmtId="1" fontId="4" fillId="0" borderId="49" xfId="0" applyNumberFormat="1" applyFont="1" applyFill="1" applyBorder="1" applyAlignment="1" applyProtection="1">
      <alignment horizontal="center" vertical="center" shrinkToFit="1"/>
      <protection locked="0"/>
    </xf>
    <xf numFmtId="0" fontId="4" fillId="0" borderId="106" xfId="0" applyNumberFormat="1" applyFont="1" applyFill="1" applyBorder="1" applyAlignment="1" applyProtection="1">
      <alignment horizontal="center" vertical="center" shrinkToFit="1"/>
    </xf>
    <xf numFmtId="1" fontId="4" fillId="25" borderId="5" xfId="0" applyNumberFormat="1" applyFont="1" applyFill="1" applyBorder="1" applyAlignment="1" applyProtection="1">
      <alignment horizontal="center" vertical="center" shrinkToFit="1"/>
    </xf>
    <xf numFmtId="169" fontId="4" fillId="0" borderId="306" xfId="0" applyNumberFormat="1" applyFont="1" applyFill="1" applyBorder="1" applyAlignment="1" applyProtection="1">
      <alignment horizontal="center" vertical="center" shrinkToFit="1"/>
    </xf>
    <xf numFmtId="169" fontId="4" fillId="0" borderId="310" xfId="0" applyNumberFormat="1" applyFont="1" applyFill="1" applyBorder="1" applyAlignment="1" applyProtection="1">
      <alignment horizontal="center" vertical="center" shrinkToFit="1"/>
    </xf>
    <xf numFmtId="169" fontId="4" fillId="25" borderId="307" xfId="0" applyNumberFormat="1" applyFont="1" applyFill="1" applyBorder="1" applyAlignment="1" applyProtection="1">
      <alignment horizontal="center" vertical="center" shrinkToFit="1"/>
    </xf>
    <xf numFmtId="169" fontId="4" fillId="25" borderId="311" xfId="0" applyNumberFormat="1" applyFont="1" applyFill="1" applyBorder="1" applyAlignment="1" applyProtection="1">
      <alignment horizontal="center" vertical="center" shrinkToFit="1"/>
    </xf>
    <xf numFmtId="167" fontId="4" fillId="25" borderId="49" xfId="0" applyNumberFormat="1" applyFont="1" applyFill="1" applyBorder="1" applyAlignment="1" applyProtection="1">
      <alignment horizontal="center" vertical="center" shrinkToFit="1"/>
      <protection locked="0"/>
    </xf>
    <xf numFmtId="167" fontId="4" fillId="0" borderId="49" xfId="0" applyNumberFormat="1" applyFont="1" applyFill="1" applyBorder="1" applyAlignment="1" applyProtection="1">
      <alignment horizontal="center" vertical="center" shrinkToFit="1"/>
      <protection locked="0"/>
    </xf>
    <xf numFmtId="49" fontId="4" fillId="0" borderId="308" xfId="0" applyNumberFormat="1" applyFont="1" applyFill="1" applyBorder="1" applyAlignment="1" applyProtection="1">
      <alignment horizontal="left" vertical="center" shrinkToFit="1"/>
    </xf>
    <xf numFmtId="49" fontId="4" fillId="0" borderId="306" xfId="0" applyNumberFormat="1" applyFont="1" applyFill="1" applyBorder="1" applyAlignment="1" applyProtection="1">
      <alignment horizontal="left" vertical="center" shrinkToFit="1"/>
    </xf>
    <xf numFmtId="49" fontId="4" fillId="25" borderId="317" xfId="0" applyNumberFormat="1" applyFont="1" applyFill="1" applyBorder="1" applyAlignment="1" applyProtection="1">
      <alignment horizontal="left" vertical="center" shrinkToFit="1"/>
    </xf>
    <xf numFmtId="49" fontId="4" fillId="25" borderId="307" xfId="0" applyNumberFormat="1" applyFont="1" applyFill="1" applyBorder="1" applyAlignment="1" applyProtection="1">
      <alignment horizontal="left" vertical="center" shrinkToFit="1"/>
    </xf>
    <xf numFmtId="1" fontId="5" fillId="0" borderId="265" xfId="0" applyNumberFormat="1" applyFont="1" applyFill="1" applyBorder="1" applyAlignment="1" applyProtection="1">
      <alignment horizontal="center" vertical="center" shrinkToFit="1"/>
    </xf>
    <xf numFmtId="49" fontId="4" fillId="25" borderId="89" xfId="0" applyNumberFormat="1" applyFont="1" applyFill="1" applyBorder="1" applyAlignment="1" applyProtection="1">
      <alignment horizontal="left" vertical="center" shrinkToFit="1"/>
      <protection locked="0"/>
    </xf>
    <xf numFmtId="49" fontId="4" fillId="25" borderId="49" xfId="0" applyNumberFormat="1" applyFont="1" applyFill="1" applyBorder="1" applyAlignment="1" applyProtection="1">
      <alignment horizontal="left" vertical="center" shrinkToFit="1"/>
      <protection locked="0"/>
    </xf>
    <xf numFmtId="0" fontId="4" fillId="25" borderId="49" xfId="0" applyNumberFormat="1" applyFont="1" applyFill="1" applyBorder="1" applyAlignment="1" applyProtection="1">
      <alignment horizontal="left" vertical="center" shrinkToFit="1"/>
    </xf>
    <xf numFmtId="167" fontId="4" fillId="0" borderId="52" xfId="0" applyNumberFormat="1" applyFont="1" applyFill="1" applyBorder="1" applyAlignment="1" applyProtection="1">
      <alignment horizontal="center" vertical="center" shrinkToFit="1"/>
    </xf>
    <xf numFmtId="49" fontId="4" fillId="0" borderId="52" xfId="0" applyNumberFormat="1" applyFont="1" applyFill="1" applyBorder="1" applyAlignment="1" applyProtection="1">
      <alignment horizontal="center" vertical="center" shrinkToFit="1"/>
    </xf>
    <xf numFmtId="49" fontId="4" fillId="0" borderId="77" xfId="0" applyNumberFormat="1" applyFont="1" applyFill="1" applyBorder="1" applyAlignment="1" applyProtection="1">
      <alignment horizontal="center" vertical="center" shrinkToFit="1"/>
    </xf>
    <xf numFmtId="1" fontId="4" fillId="0" borderId="265" xfId="0" applyNumberFormat="1" applyFont="1" applyFill="1" applyBorder="1" applyAlignment="1" applyProtection="1">
      <alignment horizontal="center" vertical="center" shrinkToFit="1"/>
    </xf>
    <xf numFmtId="0" fontId="4" fillId="0" borderId="265" xfId="0" applyNumberFormat="1" applyFont="1" applyFill="1" applyBorder="1" applyAlignment="1" applyProtection="1">
      <alignment horizontal="center" vertical="center" shrinkToFit="1"/>
    </xf>
    <xf numFmtId="49" fontId="3" fillId="7" borderId="85" xfId="0" applyNumberFormat="1" applyFont="1" applyFill="1" applyBorder="1" applyAlignment="1" applyProtection="1">
      <alignment horizontal="center" vertical="center" shrinkToFit="1"/>
    </xf>
    <xf numFmtId="49" fontId="4" fillId="0" borderId="123" xfId="0" applyNumberFormat="1" applyFont="1" applyFill="1" applyBorder="1" applyAlignment="1" applyProtection="1">
      <alignment horizontal="left" vertical="center" shrinkToFit="1"/>
    </xf>
    <xf numFmtId="49" fontId="4" fillId="0" borderId="52" xfId="0" applyNumberFormat="1" applyFont="1" applyFill="1" applyBorder="1" applyAlignment="1" applyProtection="1">
      <alignment horizontal="left" vertical="center" shrinkToFit="1"/>
    </xf>
    <xf numFmtId="49" fontId="3" fillId="7" borderId="93" xfId="0" applyNumberFormat="1" applyFont="1" applyFill="1" applyBorder="1" applyAlignment="1" applyProtection="1">
      <alignment horizontal="center" vertical="center" shrinkToFit="1"/>
    </xf>
    <xf numFmtId="49" fontId="3" fillId="7" borderId="126" xfId="0" applyNumberFormat="1" applyFont="1" applyFill="1" applyBorder="1" applyAlignment="1" applyProtection="1">
      <alignment horizontal="center" vertical="center" shrinkToFit="1"/>
    </xf>
    <xf numFmtId="49" fontId="3" fillId="7" borderId="125" xfId="0" applyNumberFormat="1" applyFont="1" applyFill="1" applyBorder="1" applyAlignment="1" applyProtection="1">
      <alignment horizontal="center" vertical="center" shrinkToFit="1"/>
    </xf>
    <xf numFmtId="171" fontId="4" fillId="0" borderId="241" xfId="0" applyNumberFormat="1" applyFont="1" applyFill="1" applyBorder="1" applyAlignment="1" applyProtection="1">
      <alignment horizontal="center" vertical="center" shrinkToFit="1"/>
    </xf>
    <xf numFmtId="0" fontId="4" fillId="0" borderId="1" xfId="0" applyNumberFormat="1" applyFont="1" applyFill="1" applyBorder="1" applyAlignment="1" applyProtection="1">
      <alignment horizontal="left" vertical="center" shrinkToFit="1"/>
    </xf>
    <xf numFmtId="0" fontId="4" fillId="0" borderId="96" xfId="0" applyNumberFormat="1" applyFont="1" applyFill="1" applyBorder="1" applyAlignment="1" applyProtection="1">
      <alignment horizontal="left" vertical="center" shrinkToFit="1"/>
    </xf>
    <xf numFmtId="49" fontId="5" fillId="7" borderId="1" xfId="0" applyNumberFormat="1" applyFont="1" applyFill="1" applyBorder="1" applyAlignment="1" applyProtection="1">
      <alignment horizontal="center" vertical="center" shrinkToFit="1"/>
    </xf>
    <xf numFmtId="0" fontId="4" fillId="0" borderId="67" xfId="0" applyNumberFormat="1" applyFont="1" applyFill="1" applyBorder="1" applyAlignment="1" applyProtection="1">
      <alignment horizontal="left" vertical="center" shrinkToFit="1"/>
    </xf>
    <xf numFmtId="0" fontId="4" fillId="0" borderId="68" xfId="0" applyNumberFormat="1" applyFont="1" applyFill="1" applyBorder="1" applyAlignment="1" applyProtection="1">
      <alignment horizontal="left" vertical="center" shrinkToFit="1"/>
    </xf>
    <xf numFmtId="0" fontId="4" fillId="0" borderId="69" xfId="0" applyNumberFormat="1" applyFont="1" applyFill="1" applyBorder="1" applyAlignment="1" applyProtection="1">
      <alignment horizontal="left" vertical="center" shrinkToFit="1"/>
    </xf>
    <xf numFmtId="49" fontId="3" fillId="7" borderId="49" xfId="0" applyNumberFormat="1" applyFont="1" applyFill="1" applyBorder="1" applyAlignment="1" applyProtection="1">
      <alignment horizontal="center" vertical="center" shrinkToFit="1"/>
    </xf>
    <xf numFmtId="0" fontId="4" fillId="0" borderId="168" xfId="0" applyNumberFormat="1" applyFont="1" applyFill="1" applyBorder="1" applyAlignment="1" applyProtection="1">
      <alignment horizontal="left" vertical="center" shrinkToFit="1"/>
    </xf>
    <xf numFmtId="0" fontId="4" fillId="0" borderId="233" xfId="0" applyNumberFormat="1" applyFont="1" applyFill="1" applyBorder="1" applyAlignment="1" applyProtection="1">
      <alignment horizontal="left" vertical="center" shrinkToFit="1"/>
    </xf>
    <xf numFmtId="0" fontId="4" fillId="0" borderId="166" xfId="0" applyNumberFormat="1" applyFont="1" applyFill="1" applyBorder="1" applyAlignment="1" applyProtection="1">
      <alignment horizontal="left" vertical="center" shrinkToFit="1"/>
    </xf>
    <xf numFmtId="49" fontId="3" fillId="7" borderId="1" xfId="0" applyNumberFormat="1" applyFont="1" applyFill="1" applyBorder="1" applyAlignment="1" applyProtection="1">
      <alignment horizontal="left" vertical="center" shrinkToFit="1"/>
    </xf>
    <xf numFmtId="49" fontId="3" fillId="7" borderId="2" xfId="0" applyNumberFormat="1" applyFont="1" applyFill="1" applyBorder="1" applyAlignment="1" applyProtection="1">
      <alignment horizontal="left" vertical="center" shrinkToFit="1"/>
    </xf>
    <xf numFmtId="49" fontId="3" fillId="7" borderId="211" xfId="0" applyNumberFormat="1" applyFont="1" applyFill="1" applyBorder="1" applyAlignment="1" applyProtection="1">
      <alignment horizontal="center" vertical="center" shrinkToFit="1"/>
    </xf>
    <xf numFmtId="49" fontId="3" fillId="7" borderId="128" xfId="0" applyNumberFormat="1" applyFont="1" applyFill="1" applyBorder="1" applyAlignment="1" applyProtection="1">
      <alignment horizontal="center" vertical="center" shrinkToFit="1"/>
    </xf>
    <xf numFmtId="171" fontId="5" fillId="0" borderId="74" xfId="0" applyNumberFormat="1" applyFont="1" applyFill="1" applyBorder="1" applyAlignment="1" applyProtection="1">
      <alignment horizontal="center" vertical="center" shrinkToFit="1"/>
    </xf>
    <xf numFmtId="171" fontId="5" fillId="0" borderId="52" xfId="0" applyNumberFormat="1" applyFont="1" applyFill="1" applyBorder="1" applyAlignment="1" applyProtection="1">
      <alignment horizontal="center" vertical="center" shrinkToFit="1"/>
    </xf>
    <xf numFmtId="1" fontId="4" fillId="25" borderId="108" xfId="0" applyNumberFormat="1" applyFont="1" applyFill="1" applyBorder="1" applyAlignment="1" applyProtection="1">
      <alignment horizontal="center" vertical="center" shrinkToFit="1"/>
      <protection locked="0"/>
    </xf>
    <xf numFmtId="1" fontId="4" fillId="25" borderId="49" xfId="0" applyNumberFormat="1" applyFont="1" applyFill="1" applyBorder="1" applyAlignment="1" applyProtection="1">
      <alignment horizontal="center" vertical="center" shrinkToFit="1"/>
      <protection locked="0"/>
    </xf>
    <xf numFmtId="0" fontId="5" fillId="0" borderId="52" xfId="0" applyNumberFormat="1" applyFont="1" applyFill="1" applyBorder="1" applyAlignment="1" applyProtection="1">
      <alignment horizontal="center" vertical="center" shrinkToFit="1"/>
    </xf>
    <xf numFmtId="0" fontId="4" fillId="0" borderId="341" xfId="0" applyNumberFormat="1" applyFont="1" applyFill="1" applyBorder="1" applyAlignment="1" applyProtection="1">
      <alignment horizontal="center" vertical="center" shrinkToFit="1"/>
    </xf>
    <xf numFmtId="0" fontId="4" fillId="0" borderId="393" xfId="0" applyNumberFormat="1" applyFont="1" applyFill="1" applyBorder="1" applyAlignment="1" applyProtection="1">
      <alignment horizontal="center" vertical="center" shrinkToFit="1"/>
    </xf>
    <xf numFmtId="0" fontId="4" fillId="0" borderId="342" xfId="0" applyNumberFormat="1" applyFont="1" applyFill="1" applyBorder="1" applyAlignment="1" applyProtection="1">
      <alignment horizontal="center" vertical="center" shrinkToFit="1"/>
    </xf>
    <xf numFmtId="49" fontId="5" fillId="7" borderId="52" xfId="0" applyNumberFormat="1" applyFont="1" applyFill="1" applyBorder="1" applyAlignment="1" applyProtection="1">
      <alignment horizontal="center" vertical="center" shrinkToFit="1"/>
    </xf>
    <xf numFmtId="49" fontId="5" fillId="7" borderId="49" xfId="0" applyNumberFormat="1" applyFont="1" applyFill="1" applyBorder="1" applyAlignment="1" applyProtection="1">
      <alignment horizontal="center" vertical="center" shrinkToFit="1"/>
    </xf>
    <xf numFmtId="1" fontId="4" fillId="0" borderId="49" xfId="0" applyNumberFormat="1" applyFont="1" applyFill="1" applyBorder="1" applyAlignment="1" applyProtection="1">
      <alignment horizontal="center" vertical="center" shrinkToFit="1"/>
    </xf>
    <xf numFmtId="167" fontId="4" fillId="0" borderId="49" xfId="0" applyNumberFormat="1" applyFont="1" applyFill="1" applyBorder="1" applyAlignment="1" applyProtection="1">
      <alignment horizontal="center" vertical="center" shrinkToFit="1"/>
    </xf>
    <xf numFmtId="49" fontId="22" fillId="7" borderId="327" xfId="0" applyNumberFormat="1" applyFont="1" applyFill="1" applyBorder="1" applyAlignment="1" applyProtection="1">
      <alignment horizontal="center" vertical="center" shrinkToFit="1"/>
    </xf>
    <xf numFmtId="49" fontId="22" fillId="7" borderId="328" xfId="0" applyNumberFormat="1" applyFont="1" applyFill="1" applyBorder="1" applyAlignment="1" applyProtection="1">
      <alignment horizontal="center" vertical="center" shrinkToFit="1"/>
    </xf>
    <xf numFmtId="49" fontId="22" fillId="7" borderId="329" xfId="0" applyNumberFormat="1" applyFont="1" applyFill="1" applyBorder="1" applyAlignment="1" applyProtection="1">
      <alignment horizontal="center" vertical="center" shrinkToFit="1"/>
    </xf>
    <xf numFmtId="49" fontId="4" fillId="0" borderId="113" xfId="0" applyNumberFormat="1" applyFont="1" applyFill="1" applyBorder="1" applyAlignment="1" applyProtection="1">
      <alignment horizontal="center" vertical="center" shrinkToFit="1"/>
    </xf>
    <xf numFmtId="49" fontId="4" fillId="0" borderId="74" xfId="0" applyNumberFormat="1" applyFont="1" applyFill="1" applyBorder="1" applyAlignment="1" applyProtection="1">
      <alignment horizontal="center" vertical="center" shrinkToFit="1"/>
    </xf>
    <xf numFmtId="49" fontId="3" fillId="7" borderId="127" xfId="0" applyNumberFormat="1" applyFont="1" applyFill="1" applyBorder="1" applyAlignment="1" applyProtection="1">
      <alignment horizontal="center" vertical="center" shrinkToFit="1"/>
    </xf>
    <xf numFmtId="0" fontId="4" fillId="25" borderId="122" xfId="0" applyNumberFormat="1" applyFont="1" applyFill="1" applyBorder="1" applyAlignment="1" applyProtection="1">
      <alignment horizontal="center" vertical="center" shrinkToFit="1"/>
    </xf>
    <xf numFmtId="0" fontId="4" fillId="25" borderId="121" xfId="0" applyNumberFormat="1" applyFont="1" applyFill="1" applyBorder="1" applyAlignment="1" applyProtection="1">
      <alignment horizontal="center" vertical="center" shrinkToFit="1"/>
    </xf>
    <xf numFmtId="49" fontId="4" fillId="0" borderId="77" xfId="0" applyNumberFormat="1" applyFont="1" applyFill="1" applyBorder="1" applyAlignment="1" applyProtection="1">
      <alignment horizontal="left" vertical="center" shrinkToFit="1"/>
      <protection locked="0"/>
    </xf>
    <xf numFmtId="49" fontId="4" fillId="0" borderId="113" xfId="0" applyNumberFormat="1" applyFont="1" applyFill="1" applyBorder="1" applyAlignment="1" applyProtection="1">
      <alignment horizontal="left" vertical="center" shrinkToFit="1"/>
      <protection locked="0"/>
    </xf>
    <xf numFmtId="49" fontId="4" fillId="0" borderId="124" xfId="0" applyNumberFormat="1" applyFont="1" applyFill="1" applyBorder="1" applyAlignment="1" applyProtection="1">
      <alignment horizontal="left" vertical="center" shrinkToFit="1"/>
      <protection locked="0"/>
    </xf>
    <xf numFmtId="49" fontId="4" fillId="25" borderId="281" xfId="0" applyNumberFormat="1" applyFont="1" applyFill="1" applyBorder="1" applyAlignment="1" applyProtection="1">
      <alignment horizontal="left" vertical="center" shrinkToFit="1"/>
      <protection locked="0"/>
    </xf>
    <xf numFmtId="49" fontId="4" fillId="25" borderId="282" xfId="0" applyNumberFormat="1" applyFont="1" applyFill="1" applyBorder="1" applyAlignment="1" applyProtection="1">
      <alignment horizontal="left" vertical="center" shrinkToFit="1"/>
      <protection locked="0"/>
    </xf>
    <xf numFmtId="49" fontId="2" fillId="0" borderId="114" xfId="0" applyNumberFormat="1" applyFont="1" applyFill="1" applyBorder="1" applyAlignment="1" applyProtection="1">
      <alignment horizontal="center" vertical="center" shrinkToFit="1"/>
    </xf>
    <xf numFmtId="49" fontId="2" fillId="0" borderId="52" xfId="0" applyNumberFormat="1" applyFont="1" applyFill="1" applyBorder="1" applyAlignment="1" applyProtection="1">
      <alignment horizontal="center" vertical="center" shrinkToFit="1"/>
    </xf>
    <xf numFmtId="49" fontId="4" fillId="0" borderId="281" xfId="0" applyNumberFormat="1" applyFont="1" applyFill="1" applyBorder="1" applyAlignment="1" applyProtection="1">
      <alignment horizontal="left" vertical="center" shrinkToFit="1"/>
      <protection locked="0"/>
    </xf>
    <xf numFmtId="49" fontId="4" fillId="0" borderId="282" xfId="0" applyNumberFormat="1" applyFont="1" applyFill="1" applyBorder="1" applyAlignment="1" applyProtection="1">
      <alignment horizontal="left" vertical="center" shrinkToFit="1"/>
      <protection locked="0"/>
    </xf>
    <xf numFmtId="49" fontId="3" fillId="7" borderId="315" xfId="0" applyNumberFormat="1" applyFont="1" applyFill="1" applyBorder="1" applyAlignment="1" applyProtection="1">
      <alignment horizontal="center" vertical="center" shrinkToFit="1"/>
    </xf>
    <xf numFmtId="49" fontId="3" fillId="7" borderId="301" xfId="0" applyNumberFormat="1" applyFont="1" applyFill="1" applyBorder="1" applyAlignment="1" applyProtection="1">
      <alignment horizontal="center" vertical="center" shrinkToFit="1"/>
    </xf>
    <xf numFmtId="1" fontId="4" fillId="25" borderId="249" xfId="0" applyNumberFormat="1" applyFont="1" applyFill="1" applyBorder="1" applyAlignment="1" applyProtection="1">
      <alignment horizontal="center" vertical="center" shrinkToFit="1"/>
    </xf>
    <xf numFmtId="1" fontId="4" fillId="25" borderId="256" xfId="0" applyNumberFormat="1" applyFont="1" applyFill="1" applyBorder="1" applyAlignment="1" applyProtection="1">
      <alignment horizontal="center" vertical="center" shrinkToFit="1"/>
    </xf>
    <xf numFmtId="49" fontId="3" fillId="7" borderId="216" xfId="0" applyNumberFormat="1" applyFont="1" applyFill="1" applyBorder="1" applyAlignment="1" applyProtection="1">
      <alignment horizontal="center" vertical="center" shrinkToFit="1"/>
    </xf>
    <xf numFmtId="49" fontId="22" fillId="7" borderId="49" xfId="0" applyNumberFormat="1" applyFont="1" applyFill="1" applyBorder="1" applyAlignment="1" applyProtection="1">
      <alignment horizontal="center" vertical="center" shrinkToFit="1"/>
    </xf>
    <xf numFmtId="49" fontId="5" fillId="7" borderId="16" xfId="0" applyNumberFormat="1" applyFont="1" applyFill="1" applyBorder="1" applyAlignment="1" applyProtection="1">
      <alignment horizontal="center" vertical="center" shrinkToFit="1"/>
    </xf>
    <xf numFmtId="49" fontId="5" fillId="7" borderId="36" xfId="0" applyNumberFormat="1" applyFont="1" applyFill="1" applyBorder="1" applyAlignment="1" applyProtection="1">
      <alignment horizontal="center" vertical="center" shrinkToFit="1"/>
    </xf>
    <xf numFmtId="49" fontId="5" fillId="7" borderId="112" xfId="0" applyNumberFormat="1" applyFont="1" applyFill="1" applyBorder="1" applyAlignment="1" applyProtection="1">
      <alignment horizontal="center" vertical="center" shrinkToFit="1"/>
    </xf>
    <xf numFmtId="49" fontId="5" fillId="7" borderId="5" xfId="0" applyNumberFormat="1" applyFont="1" applyFill="1" applyBorder="1" applyAlignment="1" applyProtection="1">
      <alignment horizontal="center" vertical="center" shrinkToFit="1"/>
    </xf>
    <xf numFmtId="167" fontId="4" fillId="0" borderId="67" xfId="0" applyNumberFormat="1" applyFont="1" applyFill="1" applyBorder="1" applyAlignment="1" applyProtection="1">
      <alignment horizontal="center" vertical="center" shrinkToFit="1"/>
    </xf>
    <xf numFmtId="167" fontId="4" fillId="0" borderId="106" xfId="0" applyNumberFormat="1" applyFont="1" applyFill="1" applyBorder="1" applyAlignment="1" applyProtection="1">
      <alignment horizontal="center" vertical="center" shrinkToFit="1"/>
    </xf>
    <xf numFmtId="167" fontId="4" fillId="0" borderId="69" xfId="0" applyNumberFormat="1" applyFont="1" applyFill="1" applyBorder="1" applyAlignment="1" applyProtection="1">
      <alignment horizontal="center" vertical="center" shrinkToFit="1"/>
    </xf>
    <xf numFmtId="49" fontId="4" fillId="25" borderId="284" xfId="0" applyNumberFormat="1" applyFont="1" applyFill="1" applyBorder="1" applyAlignment="1" applyProtection="1">
      <alignment horizontal="left" vertical="center" shrinkToFit="1"/>
      <protection locked="0"/>
    </xf>
    <xf numFmtId="1" fontId="4" fillId="0" borderId="5" xfId="0" applyNumberFormat="1" applyFont="1" applyFill="1" applyBorder="1" applyAlignment="1" applyProtection="1">
      <alignment horizontal="center" vertical="center" shrinkToFit="1"/>
    </xf>
    <xf numFmtId="49" fontId="3" fillId="7" borderId="85" xfId="0" applyNumberFormat="1" applyFont="1" applyFill="1" applyBorder="1" applyAlignment="1" applyProtection="1">
      <alignment horizontal="left" vertical="center" shrinkToFit="1"/>
    </xf>
    <xf numFmtId="49" fontId="3" fillId="7" borderId="86" xfId="0" applyNumberFormat="1" applyFont="1" applyFill="1" applyBorder="1" applyAlignment="1" applyProtection="1">
      <alignment horizontal="left" vertical="center" shrinkToFit="1"/>
    </xf>
    <xf numFmtId="49" fontId="4" fillId="0" borderId="221" xfId="0" applyNumberFormat="1" applyFont="1" applyFill="1" applyBorder="1" applyAlignment="1" applyProtection="1">
      <alignment horizontal="left" vertical="center" shrinkToFit="1"/>
    </xf>
    <xf numFmtId="49" fontId="4" fillId="0" borderId="209" xfId="0" applyNumberFormat="1" applyFont="1" applyFill="1" applyBorder="1" applyAlignment="1" applyProtection="1">
      <alignment horizontal="left" vertical="center" shrinkToFit="1"/>
    </xf>
    <xf numFmtId="1" fontId="4" fillId="0" borderId="25" xfId="0" applyNumberFormat="1" applyFont="1" applyFill="1" applyBorder="1" applyAlignment="1" applyProtection="1">
      <alignment horizontal="center" vertical="center" shrinkToFit="1"/>
    </xf>
    <xf numFmtId="49" fontId="4" fillId="0" borderId="6" xfId="0" applyNumberFormat="1" applyFont="1" applyFill="1" applyBorder="1" applyAlignment="1" applyProtection="1">
      <alignment horizontal="left" vertical="center" shrinkToFit="1"/>
    </xf>
    <xf numFmtId="169" fontId="5" fillId="0" borderId="305" xfId="0" applyNumberFormat="1" applyFont="1" applyFill="1" applyBorder="1" applyAlignment="1" applyProtection="1">
      <alignment horizontal="center" vertical="center" shrinkToFit="1"/>
    </xf>
    <xf numFmtId="169" fontId="5" fillId="0" borderId="309" xfId="0" applyNumberFormat="1" applyFont="1" applyFill="1" applyBorder="1" applyAlignment="1" applyProtection="1">
      <alignment horizontal="center" vertical="center" shrinkToFit="1"/>
    </xf>
    <xf numFmtId="49" fontId="4" fillId="0" borderId="316" xfId="0" applyNumberFormat="1" applyFont="1" applyFill="1" applyBorder="1" applyAlignment="1" applyProtection="1">
      <alignment horizontal="left" vertical="center" shrinkToFit="1"/>
    </xf>
    <xf numFmtId="49" fontId="4" fillId="0" borderId="305" xfId="0" applyNumberFormat="1" applyFont="1" applyFill="1" applyBorder="1" applyAlignment="1" applyProtection="1">
      <alignment horizontal="left" vertical="center" shrinkToFit="1"/>
    </xf>
    <xf numFmtId="49" fontId="4" fillId="25" borderId="308" xfId="0" applyNumberFormat="1" applyFont="1" applyFill="1" applyBorder="1" applyAlignment="1" applyProtection="1">
      <alignment horizontal="left" vertical="center" shrinkToFit="1"/>
    </xf>
    <xf numFmtId="49" fontId="4" fillId="25" borderId="306" xfId="0" applyNumberFormat="1" applyFont="1" applyFill="1" applyBorder="1" applyAlignment="1" applyProtection="1">
      <alignment horizontal="left" vertical="center" shrinkToFit="1"/>
    </xf>
    <xf numFmtId="49" fontId="4" fillId="25" borderId="129" xfId="0" applyNumberFormat="1" applyFont="1" applyFill="1" applyBorder="1" applyAlignment="1" applyProtection="1">
      <alignment horizontal="left" vertical="center" shrinkToFit="1"/>
      <protection locked="0"/>
    </xf>
    <xf numFmtId="49" fontId="4" fillId="25" borderId="158" xfId="0" applyNumberFormat="1" applyFont="1" applyFill="1" applyBorder="1" applyAlignment="1" applyProtection="1">
      <alignment horizontal="left" vertical="center" shrinkToFit="1"/>
      <protection locked="0"/>
    </xf>
    <xf numFmtId="49" fontId="4" fillId="0" borderId="89" xfId="0" applyNumberFormat="1" applyFont="1" applyFill="1" applyBorder="1" applyAlignment="1" applyProtection="1">
      <alignment horizontal="left" vertical="center" shrinkToFit="1"/>
      <protection locked="0"/>
    </xf>
    <xf numFmtId="0" fontId="4" fillId="0" borderId="49" xfId="0" applyNumberFormat="1" applyFont="1" applyFill="1" applyBorder="1" applyAlignment="1" applyProtection="1">
      <alignment horizontal="left" vertical="center" shrinkToFit="1"/>
    </xf>
    <xf numFmtId="49" fontId="4" fillId="25" borderId="90" xfId="0" applyNumberFormat="1" applyFont="1" applyFill="1" applyBorder="1" applyAlignment="1" applyProtection="1">
      <alignment horizontal="left" vertical="center" shrinkToFit="1"/>
      <protection locked="0"/>
    </xf>
    <xf numFmtId="49" fontId="4" fillId="25" borderId="91" xfId="0" applyNumberFormat="1" applyFont="1" applyFill="1" applyBorder="1" applyAlignment="1" applyProtection="1">
      <alignment horizontal="left" vertical="center" shrinkToFit="1"/>
      <protection locked="0"/>
    </xf>
    <xf numFmtId="0" fontId="4" fillId="25" borderId="266" xfId="0" applyNumberFormat="1" applyFont="1" applyFill="1" applyBorder="1" applyAlignment="1" applyProtection="1">
      <alignment horizontal="left" vertical="center" shrinkToFit="1"/>
    </xf>
    <xf numFmtId="49" fontId="5" fillId="7" borderId="158" xfId="0" applyNumberFormat="1" applyFont="1" applyFill="1" applyBorder="1" applyAlignment="1" applyProtection="1">
      <alignment horizontal="center" vertical="center" shrinkToFit="1"/>
    </xf>
    <xf numFmtId="49" fontId="5" fillId="0" borderId="316" xfId="0" applyNumberFormat="1" applyFont="1" applyFill="1" applyBorder="1" applyAlignment="1" applyProtection="1">
      <alignment horizontal="left" vertical="center" shrinkToFit="1"/>
    </xf>
    <xf numFmtId="49" fontId="5" fillId="0" borderId="305" xfId="0" applyNumberFormat="1" applyFont="1" applyFill="1" applyBorder="1" applyAlignment="1" applyProtection="1">
      <alignment horizontal="left" vertical="center" shrinkToFit="1"/>
    </xf>
    <xf numFmtId="0" fontId="9" fillId="0" borderId="313" xfId="0" applyNumberFormat="1" applyFont="1" applyFill="1" applyBorder="1" applyAlignment="1" applyProtection="1">
      <alignment horizontal="center" vertical="center" shrinkToFit="1"/>
    </xf>
    <xf numFmtId="0" fontId="9" fillId="0" borderId="312" xfId="0" applyNumberFormat="1" applyFont="1" applyFill="1" applyBorder="1" applyAlignment="1" applyProtection="1">
      <alignment horizontal="center" vertical="center" shrinkToFit="1"/>
    </xf>
    <xf numFmtId="0" fontId="9" fillId="0" borderId="314" xfId="0" applyNumberFormat="1" applyFont="1" applyFill="1" applyBorder="1" applyAlignment="1" applyProtection="1">
      <alignment horizontal="center" vertical="center" shrinkToFit="1"/>
    </xf>
    <xf numFmtId="0" fontId="14" fillId="0" borderId="80" xfId="0" applyNumberFormat="1" applyFont="1" applyFill="1" applyBorder="1" applyAlignment="1" applyProtection="1">
      <alignment horizontal="center" vertical="top" wrapText="1" shrinkToFit="1"/>
    </xf>
    <xf numFmtId="0" fontId="14" fillId="0" borderId="0" xfId="0" applyNumberFormat="1" applyFont="1" applyFill="1" applyBorder="1" applyAlignment="1" applyProtection="1">
      <alignment horizontal="center" vertical="top" wrapText="1" shrinkToFit="1"/>
    </xf>
    <xf numFmtId="0" fontId="14" fillId="0" borderId="81" xfId="0" applyNumberFormat="1" applyFont="1" applyFill="1" applyBorder="1" applyAlignment="1" applyProtection="1">
      <alignment horizontal="center" vertical="top" wrapText="1" shrinkToFit="1"/>
    </xf>
    <xf numFmtId="0" fontId="14" fillId="0" borderId="82" xfId="0" applyNumberFormat="1" applyFont="1" applyFill="1" applyBorder="1" applyAlignment="1" applyProtection="1">
      <alignment horizontal="center" vertical="top" wrapText="1" shrinkToFit="1"/>
    </xf>
    <xf numFmtId="0" fontId="14" fillId="0" borderId="83" xfId="0" applyNumberFormat="1" applyFont="1" applyFill="1" applyBorder="1" applyAlignment="1" applyProtection="1">
      <alignment horizontal="center" vertical="top" wrapText="1" shrinkToFit="1"/>
    </xf>
    <xf numFmtId="0" fontId="14" fillId="0" borderId="84" xfId="0" applyNumberFormat="1" applyFont="1" applyFill="1" applyBorder="1" applyAlignment="1" applyProtection="1">
      <alignment horizontal="center" vertical="top" wrapText="1" shrinkToFit="1"/>
    </xf>
    <xf numFmtId="167" fontId="4" fillId="0" borderId="209" xfId="0" applyNumberFormat="1" applyFont="1" applyFill="1" applyBorder="1" applyAlignment="1" applyProtection="1">
      <alignment horizontal="center" vertical="center" shrinkToFit="1"/>
    </xf>
    <xf numFmtId="49" fontId="4" fillId="25" borderId="267" xfId="0" applyNumberFormat="1" applyFont="1" applyFill="1" applyBorder="1" applyAlignment="1" applyProtection="1">
      <alignment horizontal="left" vertical="center" shrinkToFit="1"/>
      <protection locked="0"/>
    </xf>
    <xf numFmtId="49" fontId="4" fillId="25" borderId="266" xfId="0" applyNumberFormat="1" applyFont="1" applyFill="1" applyBorder="1" applyAlignment="1" applyProtection="1">
      <alignment horizontal="left" vertical="center" shrinkToFit="1"/>
      <protection locked="0"/>
    </xf>
    <xf numFmtId="167" fontId="4" fillId="25" borderId="394" xfId="0" applyNumberFormat="1" applyFont="1" applyFill="1" applyBorder="1" applyAlignment="1" applyProtection="1">
      <alignment horizontal="center" vertical="center" shrinkToFit="1"/>
    </xf>
    <xf numFmtId="49" fontId="4" fillId="0" borderId="22" xfId="0" applyNumberFormat="1" applyFont="1" applyBorder="1" applyAlignment="1" applyProtection="1">
      <alignment horizontal="left" vertical="center" shrinkToFit="1"/>
      <protection locked="0"/>
    </xf>
    <xf numFmtId="0" fontId="4" fillId="0" borderId="22" xfId="0" applyFont="1" applyBorder="1" applyAlignment="1" applyProtection="1">
      <alignment horizontal="left" vertical="center" shrinkToFit="1"/>
      <protection locked="0"/>
    </xf>
    <xf numFmtId="169" fontId="4" fillId="0" borderId="28" xfId="0" applyNumberFormat="1" applyFont="1" applyBorder="1" applyAlignment="1" applyProtection="1">
      <alignment horizontal="center" vertical="center" shrinkToFit="1"/>
      <protection locked="0"/>
    </xf>
    <xf numFmtId="0" fontId="4" fillId="26" borderId="31" xfId="0" applyFont="1" applyFill="1" applyBorder="1" applyAlignment="1" applyProtection="1">
      <alignment horizontal="center" vertical="center" shrinkToFit="1"/>
      <protection locked="0"/>
    </xf>
    <xf numFmtId="49" fontId="4" fillId="26" borderId="22" xfId="0" applyNumberFormat="1" applyFont="1" applyFill="1" applyBorder="1" applyAlignment="1" applyProtection="1">
      <alignment horizontal="left" vertical="center" shrinkToFit="1"/>
      <protection locked="0"/>
    </xf>
    <xf numFmtId="0" fontId="4" fillId="26" borderId="22" xfId="0" applyFont="1" applyFill="1" applyBorder="1" applyAlignment="1" applyProtection="1">
      <alignment horizontal="left" vertical="center" shrinkToFit="1"/>
      <protection locked="0"/>
    </xf>
    <xf numFmtId="169" fontId="4" fillId="26" borderId="28" xfId="0" applyNumberFormat="1" applyFont="1" applyFill="1" applyBorder="1" applyAlignment="1" applyProtection="1">
      <alignment horizontal="center" vertical="center" shrinkToFit="1"/>
      <protection locked="0"/>
    </xf>
    <xf numFmtId="0" fontId="4" fillId="0" borderId="38" xfId="0" applyFont="1" applyBorder="1" applyAlignment="1" applyProtection="1">
      <alignment horizontal="center" vertical="center" shrinkToFit="1"/>
      <protection locked="0"/>
    </xf>
    <xf numFmtId="49" fontId="4" fillId="0" borderId="39" xfId="0" applyNumberFormat="1" applyFont="1" applyBorder="1" applyAlignment="1" applyProtection="1">
      <alignment horizontal="left" vertical="center" shrinkToFit="1"/>
      <protection locked="0"/>
    </xf>
    <xf numFmtId="0" fontId="4" fillId="0" borderId="39" xfId="0" applyFont="1" applyBorder="1" applyAlignment="1" applyProtection="1">
      <alignment horizontal="left" vertical="center" shrinkToFit="1"/>
      <protection locked="0"/>
    </xf>
    <xf numFmtId="169" fontId="4" fillId="0" borderId="30" xfId="0" applyNumberFormat="1" applyFont="1" applyBorder="1" applyAlignment="1" applyProtection="1">
      <alignment horizontal="center" vertical="center" shrinkToFit="1"/>
      <protection locked="0"/>
    </xf>
    <xf numFmtId="0" fontId="5" fillId="8" borderId="212" xfId="0" applyFont="1" applyFill="1" applyBorder="1" applyAlignment="1" applyProtection="1">
      <alignment horizontal="center" vertical="center"/>
    </xf>
    <xf numFmtId="0" fontId="5" fillId="8" borderId="213" xfId="0" applyFont="1" applyFill="1" applyBorder="1" applyAlignment="1" applyProtection="1">
      <alignment horizontal="center" vertical="center"/>
    </xf>
    <xf numFmtId="0" fontId="5" fillId="8" borderId="213" xfId="0" applyFont="1" applyFill="1" applyBorder="1" applyAlignment="1" applyProtection="1">
      <alignment horizontal="left" vertical="center"/>
    </xf>
    <xf numFmtId="0" fontId="5" fillId="8" borderId="34" xfId="0" applyFont="1" applyFill="1" applyBorder="1" applyAlignment="1" applyProtection="1">
      <alignment horizontal="center" vertical="center"/>
    </xf>
    <xf numFmtId="0" fontId="4" fillId="0" borderId="31" xfId="0" applyFont="1" applyBorder="1" applyAlignment="1" applyProtection="1">
      <alignment horizontal="center" vertical="center" shrinkToFit="1"/>
      <protection locked="0"/>
    </xf>
    <xf numFmtId="0" fontId="5" fillId="0" borderId="104" xfId="0" applyFont="1" applyBorder="1" applyAlignment="1" applyProtection="1">
      <alignment horizontal="right" vertical="center" shrinkToFit="1"/>
      <protection locked="0"/>
    </xf>
    <xf numFmtId="169" fontId="4" fillId="0" borderId="30" xfId="0" applyNumberFormat="1" applyFont="1" applyFill="1" applyBorder="1" applyAlignment="1" applyProtection="1">
      <alignment horizontal="center" vertical="center" shrinkToFit="1"/>
      <protection locked="0"/>
    </xf>
    <xf numFmtId="0" fontId="5" fillId="21" borderId="213" xfId="0" applyFont="1" applyFill="1" applyBorder="1" applyAlignment="1" applyProtection="1">
      <alignment horizontal="right" vertical="center"/>
    </xf>
    <xf numFmtId="169" fontId="5" fillId="21" borderId="213" xfId="0" applyNumberFormat="1" applyFont="1" applyFill="1" applyBorder="1" applyAlignment="1" applyProtection="1">
      <alignment horizontal="center" vertical="center"/>
    </xf>
    <xf numFmtId="0" fontId="5" fillId="21" borderId="212" xfId="0" applyFont="1" applyFill="1" applyBorder="1" applyAlignment="1" applyProtection="1">
      <alignment horizontal="right" vertical="center"/>
    </xf>
    <xf numFmtId="169" fontId="5" fillId="21" borderId="34" xfId="0" applyNumberFormat="1" applyFont="1" applyFill="1" applyBorder="1" applyAlignment="1" applyProtection="1">
      <alignment horizontal="center" vertical="center"/>
    </xf>
    <xf numFmtId="0" fontId="5" fillId="8" borderId="32" xfId="0" applyFont="1" applyFill="1" applyBorder="1" applyAlignment="1" applyProtection="1">
      <alignment horizontal="center" vertical="center"/>
    </xf>
    <xf numFmtId="0" fontId="5" fillId="8" borderId="33" xfId="0" applyFont="1" applyFill="1" applyBorder="1" applyAlignment="1" applyProtection="1">
      <alignment horizontal="center" vertical="center"/>
    </xf>
    <xf numFmtId="0" fontId="5" fillId="8" borderId="33" xfId="0" applyFont="1" applyFill="1" applyBorder="1" applyAlignment="1" applyProtection="1">
      <alignment horizontal="left" vertical="center"/>
    </xf>
    <xf numFmtId="0" fontId="4" fillId="0" borderId="35" xfId="0" applyFont="1" applyBorder="1" applyAlignment="1" applyProtection="1">
      <alignment horizontal="center" vertical="center" shrinkToFit="1"/>
      <protection locked="0"/>
    </xf>
    <xf numFmtId="49" fontId="4" fillId="0" borderId="36" xfId="0" applyNumberFormat="1" applyFont="1" applyBorder="1" applyAlignment="1" applyProtection="1">
      <alignment horizontal="left" vertical="center" shrinkToFit="1"/>
      <protection locked="0"/>
    </xf>
    <xf numFmtId="0" fontId="4" fillId="0" borderId="36" xfId="0" applyFont="1" applyBorder="1" applyAlignment="1" applyProtection="1">
      <alignment horizontal="left" vertical="center" shrinkToFit="1"/>
      <protection locked="0"/>
    </xf>
    <xf numFmtId="169" fontId="4" fillId="0" borderId="37" xfId="0" applyNumberFormat="1" applyFont="1" applyBorder="1" applyAlignment="1" applyProtection="1">
      <alignment horizontal="center" vertical="center" shrinkToFit="1"/>
      <protection locked="0"/>
    </xf>
    <xf numFmtId="0" fontId="4" fillId="26" borderId="38" xfId="0" applyFont="1" applyFill="1" applyBorder="1" applyAlignment="1" applyProtection="1">
      <alignment horizontal="center" vertical="center" shrinkToFit="1"/>
      <protection locked="0"/>
    </xf>
    <xf numFmtId="49" fontId="4" fillId="26" borderId="39" xfId="0" applyNumberFormat="1" applyFont="1" applyFill="1" applyBorder="1" applyAlignment="1" applyProtection="1">
      <alignment horizontal="left" vertical="center" shrinkToFit="1"/>
      <protection locked="0"/>
    </xf>
    <xf numFmtId="0" fontId="4" fillId="26" borderId="39" xfId="0" applyFont="1" applyFill="1" applyBorder="1" applyAlignment="1" applyProtection="1">
      <alignment horizontal="left" vertical="center" shrinkToFit="1"/>
      <protection locked="0"/>
    </xf>
    <xf numFmtId="169" fontId="4" fillId="26" borderId="30" xfId="0" applyNumberFormat="1" applyFont="1" applyFill="1" applyBorder="1" applyAlignment="1" applyProtection="1">
      <alignment horizontal="center" vertical="center" shrinkToFit="1"/>
      <protection locked="0"/>
    </xf>
    <xf numFmtId="49" fontId="4" fillId="26" borderId="340" xfId="0" applyNumberFormat="1" applyFont="1" applyFill="1" applyBorder="1" applyAlignment="1" applyProtection="1">
      <alignment horizontal="left" vertical="center" shrinkToFit="1"/>
      <protection locked="0"/>
    </xf>
    <xf numFmtId="49" fontId="4" fillId="0" borderId="340" xfId="0" applyNumberFormat="1" applyFont="1" applyBorder="1" applyAlignment="1" applyProtection="1">
      <alignment horizontal="left" vertical="center" shrinkToFit="1"/>
      <protection locked="0"/>
    </xf>
    <xf numFmtId="49" fontId="4" fillId="26" borderId="347" xfId="0" applyNumberFormat="1" applyFont="1" applyFill="1" applyBorder="1" applyAlignment="1" applyProtection="1">
      <alignment horizontal="left" vertical="center" shrinkToFit="1"/>
      <protection locked="0"/>
    </xf>
    <xf numFmtId="0" fontId="4" fillId="0" borderId="31" xfId="0" applyNumberFormat="1" applyFont="1" applyBorder="1" applyAlignment="1" applyProtection="1">
      <alignment horizontal="center" vertical="center" shrinkToFit="1"/>
      <protection locked="0"/>
    </xf>
    <xf numFmtId="49" fontId="4" fillId="0" borderId="347" xfId="0" applyNumberFormat="1" applyFont="1" applyBorder="1" applyAlignment="1" applyProtection="1">
      <alignment horizontal="left" vertical="center" shrinkToFit="1"/>
      <protection locked="0"/>
    </xf>
    <xf numFmtId="49" fontId="3" fillId="8" borderId="1" xfId="0" applyNumberFormat="1" applyFont="1" applyFill="1" applyBorder="1" applyAlignment="1" applyProtection="1">
      <alignment horizontal="left" vertical="center"/>
    </xf>
    <xf numFmtId="0" fontId="2" fillId="0" borderId="1" xfId="0" applyNumberFormat="1" applyFont="1" applyBorder="1" applyAlignment="1" applyProtection="1">
      <alignment horizontal="left" vertical="center" shrinkToFit="1"/>
    </xf>
    <xf numFmtId="49" fontId="3" fillId="8" borderId="236" xfId="0" applyNumberFormat="1" applyFont="1" applyFill="1" applyBorder="1" applyAlignment="1" applyProtection="1">
      <alignment horizontal="left" vertical="center"/>
    </xf>
    <xf numFmtId="0" fontId="2" fillId="0" borderId="168" xfId="0" applyNumberFormat="1" applyFont="1" applyBorder="1" applyAlignment="1" applyProtection="1">
      <alignment horizontal="left" vertical="center" shrinkToFit="1"/>
    </xf>
    <xf numFmtId="0" fontId="2" fillId="0" borderId="233" xfId="0" applyNumberFormat="1" applyFont="1" applyBorder="1" applyAlignment="1" applyProtection="1">
      <alignment horizontal="left" vertical="center" shrinkToFit="1"/>
    </xf>
    <xf numFmtId="0" fontId="2" fillId="0" borderId="166" xfId="0" applyNumberFormat="1" applyFont="1" applyBorder="1" applyAlignment="1" applyProtection="1">
      <alignment horizontal="left" vertical="center" shrinkToFit="1"/>
    </xf>
    <xf numFmtId="49" fontId="12" fillId="6" borderId="275" xfId="0" applyNumberFormat="1" applyFont="1" applyFill="1" applyBorder="1" applyAlignment="1" applyProtection="1">
      <alignment horizontal="left" vertical="center" shrinkToFit="1"/>
    </xf>
    <xf numFmtId="49" fontId="12" fillId="6" borderId="273" xfId="0" applyNumberFormat="1" applyFont="1" applyFill="1" applyBorder="1" applyAlignment="1" applyProtection="1">
      <alignment horizontal="left" vertical="center" shrinkToFit="1"/>
    </xf>
    <xf numFmtId="49" fontId="12" fillId="6" borderId="274" xfId="0" applyNumberFormat="1" applyFont="1" applyFill="1" applyBorder="1" applyAlignment="1" applyProtection="1">
      <alignment horizontal="left" vertical="center" shrinkToFit="1"/>
    </xf>
    <xf numFmtId="0" fontId="4" fillId="0" borderId="250" xfId="0" applyNumberFormat="1" applyFont="1" applyFill="1" applyBorder="1" applyAlignment="1" applyProtection="1">
      <alignment horizontal="center" vertical="center" shrinkToFit="1"/>
    </xf>
    <xf numFmtId="0" fontId="4" fillId="0" borderId="275" xfId="0" applyNumberFormat="1" applyFont="1" applyFill="1" applyBorder="1" applyAlignment="1" applyProtection="1">
      <alignment horizontal="left" vertical="center" shrinkToFit="1"/>
    </xf>
    <xf numFmtId="0" fontId="4" fillId="0" borderId="273" xfId="0" applyNumberFormat="1" applyFont="1" applyFill="1" applyBorder="1" applyAlignment="1" applyProtection="1">
      <alignment horizontal="left" vertical="center" shrinkToFit="1"/>
    </xf>
    <xf numFmtId="0" fontId="4" fillId="0" borderId="274" xfId="0" applyNumberFormat="1" applyFont="1" applyFill="1" applyBorder="1" applyAlignment="1" applyProtection="1">
      <alignment horizontal="left" vertical="center" shrinkToFit="1"/>
    </xf>
    <xf numFmtId="0" fontId="4" fillId="0" borderId="275" xfId="0" applyNumberFormat="1" applyFont="1" applyFill="1" applyBorder="1" applyAlignment="1" applyProtection="1">
      <alignment horizontal="center" vertical="center" shrinkToFit="1"/>
    </xf>
    <xf numFmtId="0" fontId="4" fillId="0" borderId="273" xfId="0" applyNumberFormat="1" applyFont="1" applyFill="1" applyBorder="1" applyAlignment="1" applyProtection="1">
      <alignment horizontal="center" vertical="center" shrinkToFit="1"/>
    </xf>
    <xf numFmtId="0" fontId="4" fillId="0" borderId="274" xfId="0" applyNumberFormat="1" applyFont="1" applyFill="1" applyBorder="1" applyAlignment="1" applyProtection="1">
      <alignment horizontal="center" vertical="center" shrinkToFit="1"/>
    </xf>
    <xf numFmtId="167" fontId="4" fillId="0" borderId="40" xfId="0" applyNumberFormat="1" applyFont="1" applyFill="1" applyBorder="1" applyAlignment="1" applyProtection="1">
      <alignment horizontal="center" vertical="center" shrinkToFit="1"/>
    </xf>
    <xf numFmtId="167" fontId="4" fillId="0" borderId="42" xfId="0" applyNumberFormat="1" applyFont="1" applyFill="1" applyBorder="1" applyAlignment="1" applyProtection="1">
      <alignment horizontal="center" vertical="center" shrinkToFit="1"/>
    </xf>
    <xf numFmtId="0" fontId="4" fillId="0" borderId="98" xfId="0" applyNumberFormat="1" applyFont="1" applyFill="1" applyBorder="1" applyAlignment="1" applyProtection="1">
      <alignment horizontal="center" vertical="center" shrinkToFit="1"/>
      <protection locked="0"/>
    </xf>
    <xf numFmtId="0" fontId="4" fillId="0" borderId="391" xfId="0" applyNumberFormat="1" applyFont="1" applyFill="1" applyBorder="1" applyAlignment="1" applyProtection="1">
      <alignment horizontal="center" vertical="center" shrinkToFit="1"/>
      <protection locked="0"/>
    </xf>
    <xf numFmtId="0" fontId="4" fillId="0" borderId="392" xfId="0" applyNumberFormat="1" applyFont="1" applyFill="1" applyBorder="1" applyAlignment="1" applyProtection="1">
      <alignment horizontal="center" vertical="center" shrinkToFit="1"/>
      <protection locked="0"/>
    </xf>
    <xf numFmtId="0" fontId="4" fillId="0" borderId="16" xfId="0" applyNumberFormat="1" applyFont="1" applyFill="1" applyBorder="1" applyAlignment="1" applyProtection="1">
      <alignment horizontal="center" vertical="center" shrinkToFit="1"/>
      <protection locked="0"/>
    </xf>
    <xf numFmtId="0" fontId="4" fillId="0" borderId="36" xfId="0" applyNumberFormat="1" applyFont="1" applyFill="1" applyBorder="1" applyAlignment="1" applyProtection="1">
      <alignment horizontal="center" vertical="center" shrinkToFit="1"/>
      <protection locked="0"/>
    </xf>
    <xf numFmtId="0" fontId="4" fillId="0" borderId="112" xfId="0" applyNumberFormat="1" applyFont="1" applyFill="1" applyBorder="1" applyAlignment="1" applyProtection="1">
      <alignment horizontal="center" vertical="center" shrinkToFit="1"/>
      <protection locked="0"/>
    </xf>
    <xf numFmtId="0" fontId="4" fillId="0" borderId="42" xfId="0" applyNumberFormat="1" applyFont="1" applyFill="1" applyBorder="1" applyAlignment="1" applyProtection="1">
      <alignment horizontal="center" vertical="center" shrinkToFit="1"/>
    </xf>
    <xf numFmtId="0" fontId="4" fillId="0" borderId="258" xfId="0" applyNumberFormat="1" applyFont="1" applyFill="1" applyBorder="1" applyAlignment="1" applyProtection="1">
      <alignment horizontal="center" vertical="center" shrinkToFit="1"/>
    </xf>
    <xf numFmtId="0" fontId="4" fillId="0" borderId="249" xfId="0" applyNumberFormat="1" applyFont="1" applyFill="1" applyBorder="1" applyAlignment="1" applyProtection="1">
      <alignment horizontal="center" vertical="center" shrinkToFit="1"/>
    </xf>
    <xf numFmtId="0" fontId="4" fillId="0" borderId="257" xfId="0" applyNumberFormat="1" applyFont="1" applyFill="1" applyBorder="1" applyAlignment="1" applyProtection="1">
      <alignment horizontal="center" vertical="center" shrinkToFit="1"/>
    </xf>
    <xf numFmtId="0" fontId="4" fillId="0" borderId="256" xfId="0" applyNumberFormat="1" applyFont="1" applyFill="1" applyBorder="1" applyAlignment="1" applyProtection="1">
      <alignment horizontal="center" vertical="center" shrinkToFit="1"/>
    </xf>
    <xf numFmtId="49" fontId="12" fillId="6" borderId="43" xfId="0" applyNumberFormat="1" applyFont="1" applyFill="1" applyBorder="1" applyAlignment="1" applyProtection="1">
      <alignment horizontal="center" vertical="center" shrinkToFit="1"/>
    </xf>
    <xf numFmtId="49" fontId="12" fillId="6" borderId="97" xfId="0" applyNumberFormat="1" applyFont="1" applyFill="1" applyBorder="1" applyAlignment="1" applyProtection="1">
      <alignment horizontal="center" vertical="center" shrinkToFit="1"/>
    </xf>
    <xf numFmtId="49" fontId="12" fillId="6" borderId="44" xfId="0" applyNumberFormat="1" applyFont="1" applyFill="1" applyBorder="1" applyAlignment="1" applyProtection="1">
      <alignment horizontal="center" vertical="center" shrinkToFit="1"/>
    </xf>
    <xf numFmtId="49" fontId="12" fillId="6" borderId="107" xfId="0" applyNumberFormat="1" applyFont="1" applyFill="1" applyBorder="1" applyAlignment="1" applyProtection="1">
      <alignment horizontal="center" vertical="center" shrinkToFit="1"/>
    </xf>
    <xf numFmtId="49" fontId="12" fillId="6" borderId="42" xfId="0" applyNumberFormat="1" applyFont="1" applyFill="1" applyBorder="1" applyAlignment="1" applyProtection="1">
      <alignment horizontal="center" vertical="center" shrinkToFit="1"/>
    </xf>
    <xf numFmtId="49" fontId="12" fillId="6" borderId="98" xfId="0" applyNumberFormat="1" applyFont="1" applyFill="1" applyBorder="1" applyAlignment="1" applyProtection="1">
      <alignment horizontal="center" vertical="center" shrinkToFit="1"/>
    </xf>
    <xf numFmtId="49" fontId="12" fillId="6" borderId="99" xfId="0" applyNumberFormat="1" applyFont="1" applyFill="1" applyBorder="1" applyAlignment="1" applyProtection="1">
      <alignment horizontal="center" vertical="center" shrinkToFit="1"/>
    </xf>
    <xf numFmtId="49" fontId="12" fillId="6" borderId="102" xfId="0" applyNumberFormat="1" applyFont="1" applyFill="1" applyBorder="1" applyAlignment="1" applyProtection="1">
      <alignment horizontal="center" vertical="center" shrinkToFit="1"/>
    </xf>
    <xf numFmtId="49" fontId="12" fillId="6" borderId="100" xfId="0" applyNumberFormat="1" applyFont="1" applyFill="1" applyBorder="1" applyAlignment="1" applyProtection="1">
      <alignment horizontal="center" vertical="center" shrinkToFit="1"/>
    </xf>
    <xf numFmtId="49" fontId="12" fillId="6" borderId="101" xfId="0" applyNumberFormat="1" applyFont="1" applyFill="1" applyBorder="1" applyAlignment="1" applyProtection="1">
      <alignment horizontal="center" vertical="center" shrinkToFit="1"/>
    </xf>
    <xf numFmtId="49" fontId="12" fillId="6" borderId="103" xfId="0" applyNumberFormat="1" applyFont="1" applyFill="1" applyBorder="1" applyAlignment="1" applyProtection="1">
      <alignment horizontal="center" vertical="center" shrinkToFit="1"/>
    </xf>
    <xf numFmtId="167" fontId="2" fillId="0" borderId="236" xfId="0" applyNumberFormat="1" applyFont="1" applyFill="1" applyBorder="1" applyAlignment="1" applyProtection="1">
      <alignment horizontal="center" vertical="center" shrinkToFit="1"/>
    </xf>
    <xf numFmtId="167" fontId="2" fillId="0" borderId="241" xfId="0" applyNumberFormat="1" applyFont="1" applyFill="1" applyBorder="1" applyAlignment="1" applyProtection="1">
      <alignment horizontal="center" vertical="center" shrinkToFit="1"/>
    </xf>
    <xf numFmtId="167" fontId="2" fillId="0" borderId="242" xfId="0" applyNumberFormat="1" applyFont="1" applyFill="1" applyBorder="1" applyAlignment="1" applyProtection="1">
      <alignment horizontal="center" vertical="center" shrinkToFit="1"/>
    </xf>
    <xf numFmtId="49" fontId="3" fillId="6" borderId="168" xfId="0" applyNumberFormat="1" applyFont="1" applyFill="1" applyBorder="1" applyAlignment="1" applyProtection="1">
      <alignment horizontal="left" vertical="center" shrinkToFit="1"/>
    </xf>
    <xf numFmtId="49" fontId="3" fillId="6" borderId="233" xfId="0" applyNumberFormat="1" applyFont="1" applyFill="1" applyBorder="1" applyAlignment="1" applyProtection="1">
      <alignment horizontal="left" vertical="center" shrinkToFit="1"/>
    </xf>
    <xf numFmtId="49" fontId="3" fillId="6" borderId="166" xfId="0" applyNumberFormat="1" applyFont="1" applyFill="1" applyBorder="1" applyAlignment="1" applyProtection="1">
      <alignment horizontal="left" vertical="center" shrinkToFit="1"/>
    </xf>
    <xf numFmtId="49" fontId="12" fillId="6" borderId="40" xfId="0" applyNumberFormat="1" applyFont="1" applyFill="1" applyBorder="1" applyAlignment="1" applyProtection="1">
      <alignment horizontal="center" vertical="center" shrinkToFit="1"/>
    </xf>
    <xf numFmtId="49" fontId="12" fillId="6" borderId="41" xfId="0" applyNumberFormat="1" applyFont="1" applyFill="1" applyBorder="1" applyAlignment="1" applyProtection="1">
      <alignment horizontal="center" vertical="center" shrinkToFit="1"/>
    </xf>
    <xf numFmtId="0" fontId="2" fillId="0" borderId="237" xfId="0" applyNumberFormat="1" applyFont="1" applyFill="1" applyBorder="1" applyAlignment="1" applyProtection="1">
      <alignment horizontal="left" vertical="center" shrinkToFit="1"/>
    </xf>
    <xf numFmtId="0" fontId="2" fillId="0" borderId="67" xfId="0" applyNumberFormat="1" applyFont="1" applyFill="1" applyBorder="1" applyAlignment="1" applyProtection="1">
      <alignment horizontal="left" vertical="center" shrinkToFit="1"/>
    </xf>
    <xf numFmtId="0" fontId="2" fillId="0" borderId="68" xfId="0" applyNumberFormat="1" applyFont="1" applyFill="1" applyBorder="1" applyAlignment="1" applyProtection="1">
      <alignment horizontal="left" vertical="center" shrinkToFit="1"/>
    </xf>
    <xf numFmtId="0" fontId="2" fillId="0" borderId="106" xfId="0" applyNumberFormat="1" applyFont="1" applyFill="1" applyBorder="1" applyAlignment="1" applyProtection="1">
      <alignment horizontal="left" vertical="center" shrinkToFit="1"/>
    </xf>
    <xf numFmtId="0" fontId="2" fillId="0" borderId="69" xfId="0" applyNumberFormat="1" applyFont="1" applyFill="1" applyBorder="1" applyAlignment="1" applyProtection="1">
      <alignment horizontal="left" vertical="center" shrinkToFit="1"/>
    </xf>
    <xf numFmtId="0" fontId="3" fillId="6" borderId="1" xfId="0" applyFont="1" applyFill="1" applyBorder="1" applyAlignment="1" applyProtection="1">
      <alignment horizontal="left" vertical="center" shrinkToFit="1"/>
    </xf>
    <xf numFmtId="49" fontId="3" fillId="6" borderId="1" xfId="0" applyNumberFormat="1" applyFont="1" applyFill="1" applyBorder="1" applyAlignment="1" applyProtection="1">
      <alignment horizontal="left" vertical="center" shrinkToFit="1"/>
    </xf>
    <xf numFmtId="49" fontId="3" fillId="6" borderId="236" xfId="0" applyNumberFormat="1" applyFont="1" applyFill="1" applyBorder="1" applyAlignment="1" applyProtection="1">
      <alignment horizontal="left" vertical="center" shrinkToFit="1"/>
    </xf>
    <xf numFmtId="0" fontId="2" fillId="0" borderId="1" xfId="0" applyNumberFormat="1" applyFont="1" applyFill="1" applyBorder="1" applyAlignment="1" applyProtection="1">
      <alignment horizontal="left" vertical="center" shrinkToFit="1"/>
    </xf>
    <xf numFmtId="0" fontId="4" fillId="0" borderId="343" xfId="0" applyNumberFormat="1" applyFont="1" applyFill="1" applyBorder="1" applyAlignment="1" applyProtection="1">
      <alignment horizontal="left" vertical="center" shrinkToFit="1"/>
    </xf>
    <xf numFmtId="0" fontId="4" fillId="0" borderId="347" xfId="0" applyNumberFormat="1" applyFont="1" applyFill="1" applyBorder="1" applyAlignment="1" applyProtection="1">
      <alignment horizontal="left" vertical="center" shrinkToFit="1"/>
    </xf>
    <xf numFmtId="0" fontId="4" fillId="0" borderId="344" xfId="0" applyNumberFormat="1" applyFont="1" applyFill="1" applyBorder="1" applyAlignment="1" applyProtection="1">
      <alignment horizontal="left" vertical="center" shrinkToFit="1"/>
    </xf>
    <xf numFmtId="0" fontId="12" fillId="6" borderId="410" xfId="0" applyNumberFormat="1" applyFont="1" applyFill="1" applyBorder="1" applyAlignment="1" applyProtection="1">
      <alignment horizontal="left" vertical="center" shrinkToFit="1"/>
    </xf>
    <xf numFmtId="0" fontId="12" fillId="6" borderId="411" xfId="0" applyNumberFormat="1" applyFont="1" applyFill="1" applyBorder="1" applyAlignment="1" applyProtection="1">
      <alignment horizontal="left" vertical="center" shrinkToFit="1"/>
    </xf>
    <xf numFmtId="0" fontId="12" fillId="6" borderId="412" xfId="0" applyNumberFormat="1" applyFont="1" applyFill="1" applyBorder="1" applyAlignment="1" applyProtection="1">
      <alignment horizontal="left" vertical="center" shrinkToFit="1"/>
    </xf>
    <xf numFmtId="0" fontId="4" fillId="0" borderId="346" xfId="0" applyNumberFormat="1" applyFont="1" applyFill="1" applyBorder="1" applyAlignment="1" applyProtection="1">
      <alignment horizontal="left" vertical="center" shrinkToFit="1"/>
    </xf>
    <xf numFmtId="0" fontId="4" fillId="0" borderId="354" xfId="0" applyNumberFormat="1" applyFont="1" applyFill="1" applyBorder="1" applyAlignment="1" applyProtection="1">
      <alignment horizontal="left" vertical="center" shrinkToFit="1"/>
    </xf>
    <xf numFmtId="49" fontId="12" fillId="6" borderId="353" xfId="0" applyNumberFormat="1" applyFont="1" applyFill="1" applyBorder="1" applyAlignment="1" applyProtection="1">
      <alignment horizontal="left" vertical="center" shrinkToFit="1"/>
    </xf>
    <xf numFmtId="49" fontId="12" fillId="6" borderId="347" xfId="0" applyNumberFormat="1" applyFont="1" applyFill="1" applyBorder="1" applyAlignment="1" applyProtection="1">
      <alignment horizontal="left" vertical="center" shrinkToFit="1"/>
    </xf>
    <xf numFmtId="49" fontId="12" fillId="6" borderId="344" xfId="0" applyNumberFormat="1" applyFont="1" applyFill="1" applyBorder="1" applyAlignment="1" applyProtection="1">
      <alignment horizontal="left" vertical="center" shrinkToFit="1"/>
    </xf>
    <xf numFmtId="49" fontId="12" fillId="6" borderId="343" xfId="0" applyNumberFormat="1" applyFont="1" applyFill="1" applyBorder="1" applyAlignment="1" applyProtection="1">
      <alignment horizontal="left" vertical="center" shrinkToFit="1"/>
    </xf>
    <xf numFmtId="0" fontId="4" fillId="0" borderId="343" xfId="0" applyNumberFormat="1" applyFont="1" applyFill="1" applyBorder="1" applyAlignment="1" applyProtection="1">
      <alignment horizontal="center" vertical="center" shrinkToFit="1"/>
    </xf>
    <xf numFmtId="0" fontId="4" fillId="0" borderId="347" xfId="0" applyNumberFormat="1" applyFont="1" applyFill="1" applyBorder="1" applyAlignment="1" applyProtection="1">
      <alignment horizontal="center" vertical="center" shrinkToFit="1"/>
    </xf>
    <xf numFmtId="0" fontId="4" fillId="0" borderId="344" xfId="0" applyNumberFormat="1" applyFont="1" applyFill="1" applyBorder="1" applyAlignment="1" applyProtection="1">
      <alignment horizontal="center" vertical="center" shrinkToFit="1"/>
    </xf>
    <xf numFmtId="0" fontId="4" fillId="0" borderId="262" xfId="0" applyNumberFormat="1" applyFont="1" applyFill="1" applyBorder="1" applyAlignment="1" applyProtection="1">
      <alignment horizontal="center" vertical="center" shrinkToFit="1"/>
    </xf>
    <xf numFmtId="0" fontId="4" fillId="0" borderId="263" xfId="0" applyNumberFormat="1" applyFont="1" applyFill="1" applyBorder="1" applyAlignment="1" applyProtection="1">
      <alignment horizontal="center" vertical="center" shrinkToFit="1"/>
    </xf>
    <xf numFmtId="0" fontId="4" fillId="0" borderId="264" xfId="0" applyNumberFormat="1" applyFont="1" applyFill="1" applyBorder="1" applyAlignment="1" applyProtection="1">
      <alignment horizontal="center" vertical="center" shrinkToFit="1"/>
    </xf>
    <xf numFmtId="0" fontId="8" fillId="0" borderId="98" xfId="0" applyNumberFormat="1" applyFont="1" applyFill="1" applyBorder="1" applyAlignment="1" applyProtection="1">
      <alignment horizontal="left" vertical="center" wrapText="1" shrinkToFit="1"/>
      <protection locked="0"/>
    </xf>
    <xf numFmtId="0" fontId="8" fillId="0" borderId="99" xfId="0" applyNumberFormat="1" applyFont="1" applyFill="1" applyBorder="1" applyAlignment="1" applyProtection="1">
      <alignment horizontal="left" vertical="center" wrapText="1" shrinkToFit="1"/>
      <protection locked="0"/>
    </xf>
    <xf numFmtId="0" fontId="8" fillId="0" borderId="102" xfId="0" applyNumberFormat="1" applyFont="1" applyFill="1" applyBorder="1" applyAlignment="1" applyProtection="1">
      <alignment horizontal="left" vertical="center" wrapText="1" shrinkToFit="1"/>
      <protection locked="0"/>
    </xf>
    <xf numFmtId="0" fontId="8" fillId="0" borderId="16" xfId="0" applyNumberFormat="1" applyFont="1" applyFill="1" applyBorder="1" applyAlignment="1" applyProtection="1">
      <alignment horizontal="left" vertical="center" wrapText="1" shrinkToFit="1"/>
      <protection locked="0"/>
    </xf>
    <xf numFmtId="0" fontId="8" fillId="0" borderId="36" xfId="0" applyNumberFormat="1" applyFont="1" applyFill="1" applyBorder="1" applyAlignment="1" applyProtection="1">
      <alignment horizontal="left" vertical="center" wrapText="1" shrinkToFit="1"/>
      <protection locked="0"/>
    </xf>
    <xf numFmtId="0" fontId="8" fillId="0" borderId="105" xfId="0" applyNumberFormat="1" applyFont="1" applyFill="1" applyBorder="1" applyAlignment="1" applyProtection="1">
      <alignment horizontal="left" vertical="center" wrapText="1" shrinkToFit="1"/>
      <protection locked="0"/>
    </xf>
    <xf numFmtId="0" fontId="8" fillId="0" borderId="78" xfId="0" applyNumberFormat="1" applyFont="1" applyFill="1" applyBorder="1" applyAlignment="1" applyProtection="1">
      <alignment horizontal="left" vertical="center" wrapText="1" shrinkToFit="1"/>
      <protection locked="0"/>
    </xf>
    <xf numFmtId="0" fontId="8" fillId="0" borderId="350" xfId="0" applyNumberFormat="1" applyFont="1" applyFill="1" applyBorder="1" applyAlignment="1" applyProtection="1">
      <alignment horizontal="left" vertical="center" wrapText="1" shrinkToFit="1"/>
      <protection locked="0"/>
    </xf>
    <xf numFmtId="0" fontId="8" fillId="0" borderId="351" xfId="0" applyNumberFormat="1" applyFont="1" applyFill="1" applyBorder="1" applyAlignment="1" applyProtection="1">
      <alignment horizontal="left" vertical="center" wrapText="1" shrinkToFit="1"/>
      <protection locked="0"/>
    </xf>
    <xf numFmtId="0" fontId="4" fillId="0" borderId="352" xfId="0" applyNumberFormat="1" applyFont="1" applyFill="1" applyBorder="1" applyAlignment="1" applyProtection="1">
      <alignment horizontal="center" vertical="center" shrinkToFit="1"/>
    </xf>
    <xf numFmtId="0" fontId="4" fillId="0" borderId="345" xfId="0" applyNumberFormat="1" applyFont="1" applyFill="1" applyBorder="1" applyAlignment="1" applyProtection="1">
      <alignment horizontal="center" vertical="center" shrinkToFit="1"/>
    </xf>
    <xf numFmtId="0" fontId="4" fillId="0" borderId="340" xfId="0" applyNumberFormat="1" applyFont="1" applyFill="1" applyBorder="1" applyAlignment="1" applyProtection="1">
      <alignment horizontal="center" vertical="center" shrinkToFit="1"/>
    </xf>
    <xf numFmtId="167" fontId="4" fillId="0" borderId="278" xfId="0" applyNumberFormat="1" applyFont="1" applyFill="1" applyBorder="1" applyAlignment="1" applyProtection="1">
      <alignment horizontal="center" vertical="center" shrinkToFit="1"/>
    </xf>
    <xf numFmtId="167" fontId="4" fillId="0" borderId="223" xfId="0" applyNumberFormat="1" applyFont="1" applyFill="1" applyBorder="1" applyAlignment="1" applyProtection="1">
      <alignment horizontal="center" vertical="center" shrinkToFit="1"/>
    </xf>
    <xf numFmtId="0" fontId="4" fillId="0" borderId="223" xfId="0" applyNumberFormat="1" applyFont="1" applyFill="1" applyBorder="1" applyAlignment="1" applyProtection="1">
      <alignment horizontal="center" vertical="center" shrinkToFit="1"/>
      <protection locked="0"/>
    </xf>
    <xf numFmtId="0" fontId="4" fillId="0" borderId="345" xfId="0" applyNumberFormat="1" applyFont="1" applyFill="1" applyBorder="1" applyAlignment="1" applyProtection="1">
      <alignment horizontal="center" vertical="center" shrinkToFit="1"/>
      <protection locked="0"/>
    </xf>
    <xf numFmtId="0" fontId="4" fillId="0" borderId="223" xfId="0" applyNumberFormat="1" applyFont="1" applyFill="1" applyBorder="1" applyAlignment="1" applyProtection="1">
      <alignment horizontal="center" vertical="center" shrinkToFit="1"/>
    </xf>
    <xf numFmtId="0" fontId="4" fillId="0" borderId="27" xfId="0" applyNumberFormat="1" applyFont="1" applyFill="1" applyBorder="1" applyAlignment="1" applyProtection="1">
      <alignment horizontal="center" vertical="center" shrinkToFit="1"/>
    </xf>
    <xf numFmtId="0" fontId="4" fillId="0" borderId="62" xfId="0" applyNumberFormat="1" applyFont="1" applyFill="1" applyBorder="1" applyAlignment="1" applyProtection="1">
      <alignment horizontal="center" vertical="center" shrinkToFit="1"/>
    </xf>
    <xf numFmtId="0" fontId="4" fillId="0" borderId="24" xfId="0" applyNumberFormat="1" applyFont="1" applyFill="1" applyBorder="1" applyAlignment="1" applyProtection="1">
      <alignment horizontal="center" vertical="center" shrinkToFit="1"/>
    </xf>
    <xf numFmtId="0" fontId="4" fillId="0" borderId="276" xfId="0" applyNumberFormat="1" applyFont="1" applyFill="1" applyBorder="1" applyAlignment="1" applyProtection="1">
      <alignment horizontal="left" vertical="center" shrinkToFit="1"/>
    </xf>
    <xf numFmtId="0" fontId="4" fillId="0" borderId="277" xfId="0" applyNumberFormat="1" applyFont="1" applyFill="1" applyBorder="1" applyAlignment="1" applyProtection="1">
      <alignment horizontal="left" vertical="center" shrinkToFit="1"/>
    </xf>
    <xf numFmtId="0" fontId="12" fillId="6" borderId="275" xfId="0" applyNumberFormat="1" applyFont="1" applyFill="1" applyBorder="1" applyAlignment="1" applyProtection="1">
      <alignment horizontal="left" vertical="center" shrinkToFit="1"/>
    </xf>
    <xf numFmtId="0" fontId="12" fillId="6" borderId="273" xfId="0" applyNumberFormat="1" applyFont="1" applyFill="1" applyBorder="1" applyAlignment="1" applyProtection="1">
      <alignment horizontal="left" vertical="center" shrinkToFit="1"/>
    </xf>
    <xf numFmtId="0" fontId="12" fillId="6" borderId="274" xfId="0" applyNumberFormat="1" applyFont="1" applyFill="1" applyBorder="1" applyAlignment="1" applyProtection="1">
      <alignment horizontal="left" vertical="center" shrinkToFit="1"/>
    </xf>
    <xf numFmtId="49" fontId="12" fillId="6" borderId="272" xfId="0" applyNumberFormat="1" applyFont="1" applyFill="1" applyBorder="1" applyAlignment="1" applyProtection="1">
      <alignment horizontal="left" vertical="center" shrinkToFit="1"/>
    </xf>
    <xf numFmtId="0" fontId="4" fillId="0" borderId="265" xfId="0" applyFont="1" applyBorder="1" applyAlignment="1" applyProtection="1">
      <alignment horizontal="center"/>
      <protection locked="0"/>
    </xf>
    <xf numFmtId="0" fontId="4" fillId="0" borderId="0" xfId="0" applyFont="1" applyBorder="1" applyAlignment="1">
      <alignment horizontal="left"/>
    </xf>
    <xf numFmtId="0" fontId="2" fillId="0" borderId="243" xfId="0" applyNumberFormat="1" applyFont="1" applyBorder="1" applyAlignment="1" applyProtection="1">
      <alignment horizontal="left" vertical="center" shrinkToFit="1"/>
    </xf>
    <xf numFmtId="0" fontId="3" fillId="4" borderId="259" xfId="0" applyFont="1" applyFill="1" applyBorder="1" applyAlignment="1">
      <alignment horizontal="left" vertical="center"/>
    </xf>
    <xf numFmtId="0" fontId="3" fillId="4" borderId="260" xfId="0" applyFont="1" applyFill="1" applyBorder="1" applyAlignment="1">
      <alignment horizontal="left" vertical="center"/>
    </xf>
    <xf numFmtId="0" fontId="3" fillId="4" borderId="261" xfId="0" applyFont="1" applyFill="1" applyBorder="1" applyAlignment="1">
      <alignment horizontal="left" vertical="center"/>
    </xf>
    <xf numFmtId="49" fontId="3" fillId="4" borderId="1" xfId="0" applyNumberFormat="1" applyFont="1" applyFill="1" applyBorder="1" applyAlignment="1">
      <alignment horizontal="left" vertical="center"/>
    </xf>
    <xf numFmtId="0" fontId="3" fillId="5" borderId="259" xfId="0" applyFont="1" applyFill="1" applyBorder="1" applyAlignment="1">
      <alignment horizontal="center" vertical="center"/>
    </xf>
    <xf numFmtId="0" fontId="3" fillId="5" borderId="260" xfId="0" applyFont="1" applyFill="1" applyBorder="1" applyAlignment="1">
      <alignment horizontal="center" vertical="center"/>
    </xf>
    <xf numFmtId="0" fontId="3" fillId="5" borderId="261" xfId="0" applyFont="1" applyFill="1" applyBorder="1" applyAlignment="1">
      <alignment horizontal="center" vertical="center"/>
    </xf>
    <xf numFmtId="49" fontId="4" fillId="0" borderId="303" xfId="0" applyNumberFormat="1" applyFont="1" applyBorder="1" applyAlignment="1" applyProtection="1">
      <alignment horizontal="center" vertical="center" shrinkToFit="1"/>
      <protection locked="0"/>
    </xf>
    <xf numFmtId="49" fontId="4" fillId="0" borderId="333" xfId="0" applyNumberFormat="1" applyFont="1" applyBorder="1" applyAlignment="1" applyProtection="1">
      <alignment horizontal="center" vertical="center" shrinkToFit="1"/>
      <protection locked="0"/>
    </xf>
    <xf numFmtId="49" fontId="4" fillId="0" borderId="334" xfId="0" applyNumberFormat="1" applyFont="1" applyBorder="1" applyAlignment="1" applyProtection="1">
      <alignment horizontal="center" vertical="center" shrinkToFit="1"/>
      <protection locked="0"/>
    </xf>
    <xf numFmtId="49" fontId="4" fillId="0" borderId="330" xfId="0" applyNumberFormat="1" applyFont="1" applyBorder="1" applyAlignment="1" applyProtection="1">
      <alignment horizontal="center" vertical="center" shrinkToFit="1"/>
      <protection locked="0"/>
    </xf>
    <xf numFmtId="49" fontId="4" fillId="0" borderId="331" xfId="0" applyNumberFormat="1" applyFont="1" applyBorder="1" applyAlignment="1" applyProtection="1">
      <alignment horizontal="center" vertical="center" shrinkToFit="1"/>
      <protection locked="0"/>
    </xf>
    <xf numFmtId="49" fontId="4" fillId="0" borderId="332" xfId="0" applyNumberFormat="1" applyFont="1" applyBorder="1" applyAlignment="1" applyProtection="1">
      <alignment horizontal="center" vertical="center" shrinkToFit="1"/>
      <protection locked="0"/>
    </xf>
    <xf numFmtId="49" fontId="4" fillId="0" borderId="335" xfId="0" applyNumberFormat="1" applyFont="1" applyBorder="1" applyAlignment="1" applyProtection="1">
      <alignment horizontal="center" vertical="center" shrinkToFit="1"/>
      <protection locked="0"/>
    </xf>
    <xf numFmtId="49" fontId="4" fillId="0" borderId="336" xfId="0" applyNumberFormat="1" applyFont="1" applyBorder="1" applyAlignment="1" applyProtection="1">
      <alignment horizontal="center" vertical="center" shrinkToFit="1"/>
      <protection locked="0"/>
    </xf>
    <xf numFmtId="49" fontId="5" fillId="11" borderId="12" xfId="0" applyNumberFormat="1" applyFont="1" applyFill="1" applyBorder="1" applyAlignment="1" applyProtection="1">
      <alignment horizontal="center" vertical="center" shrinkToFit="1"/>
    </xf>
    <xf numFmtId="49" fontId="4" fillId="0" borderId="15" xfId="0" applyNumberFormat="1" applyFont="1" applyBorder="1" applyAlignment="1" applyProtection="1">
      <alignment horizontal="left" vertical="center" shrinkToFit="1"/>
      <protection locked="0"/>
    </xf>
    <xf numFmtId="49" fontId="5" fillId="11" borderId="23" xfId="0" applyNumberFormat="1" applyFont="1" applyFill="1" applyBorder="1" applyAlignment="1" applyProtection="1">
      <alignment horizontal="center" vertical="center" shrinkToFit="1"/>
      <protection locked="0"/>
    </xf>
    <xf numFmtId="49" fontId="5" fillId="11" borderId="46" xfId="0" applyNumberFormat="1" applyFont="1" applyFill="1" applyBorder="1" applyAlignment="1" applyProtection="1">
      <alignment horizontal="center" vertical="center" shrinkToFit="1"/>
      <protection locked="0"/>
    </xf>
    <xf numFmtId="49" fontId="5" fillId="11" borderId="23" xfId="0" applyNumberFormat="1" applyFont="1" applyFill="1" applyBorder="1" applyAlignment="1" applyProtection="1">
      <alignment horizontal="center" vertical="center" shrinkToFit="1"/>
    </xf>
    <xf numFmtId="49" fontId="5" fillId="11" borderId="46" xfId="0" applyNumberFormat="1" applyFont="1" applyFill="1" applyBorder="1" applyAlignment="1" applyProtection="1">
      <alignment horizontal="center" vertical="center" shrinkToFit="1"/>
    </xf>
    <xf numFmtId="49" fontId="4" fillId="0" borderId="9" xfId="0" applyNumberFormat="1" applyFont="1" applyBorder="1" applyAlignment="1" applyProtection="1">
      <alignment horizontal="center" vertical="center" shrinkToFit="1"/>
      <protection locked="0"/>
    </xf>
    <xf numFmtId="49" fontId="4" fillId="0" borderId="29" xfId="0" applyNumberFormat="1" applyFont="1" applyBorder="1" applyAlignment="1" applyProtection="1">
      <alignment horizontal="center" vertical="center" shrinkToFit="1"/>
      <protection locked="0"/>
    </xf>
    <xf numFmtId="172" fontId="4" fillId="0" borderId="9" xfId="0" applyNumberFormat="1" applyFont="1" applyBorder="1" applyAlignment="1" applyProtection="1">
      <alignment horizontal="center" vertical="center" shrinkToFit="1"/>
      <protection locked="0"/>
    </xf>
    <xf numFmtId="172" fontId="4" fillId="0" borderId="29" xfId="0" applyNumberFormat="1" applyFont="1" applyBorder="1" applyAlignment="1" applyProtection="1">
      <alignment horizontal="center" vertical="center" shrinkToFit="1"/>
      <protection locked="0"/>
    </xf>
    <xf numFmtId="49" fontId="5" fillId="11" borderId="53" xfId="0" applyNumberFormat="1" applyFont="1" applyFill="1" applyBorder="1" applyAlignment="1" applyProtection="1">
      <alignment horizontal="center" vertical="center" shrinkToFit="1"/>
    </xf>
    <xf numFmtId="49" fontId="5" fillId="11" borderId="54" xfId="0" applyNumberFormat="1" applyFont="1" applyFill="1" applyBorder="1" applyAlignment="1" applyProtection="1">
      <alignment horizontal="center" vertical="center" shrinkToFit="1"/>
    </xf>
    <xf numFmtId="49" fontId="5" fillId="11" borderId="55" xfId="0" applyNumberFormat="1" applyFont="1" applyFill="1" applyBorder="1" applyAlignment="1" applyProtection="1">
      <alignment horizontal="center" vertical="center" shrinkToFit="1"/>
    </xf>
    <xf numFmtId="49" fontId="3" fillId="11" borderId="216" xfId="0" applyNumberFormat="1" applyFont="1" applyFill="1" applyBorder="1" applyAlignment="1" applyProtection="1">
      <alignment horizontal="left" vertical="center" shrinkToFit="1"/>
    </xf>
    <xf numFmtId="49" fontId="3" fillId="11" borderId="217" xfId="0" applyNumberFormat="1" applyFont="1" applyFill="1" applyBorder="1" applyAlignment="1" applyProtection="1">
      <alignment horizontal="left" vertical="center" shrinkToFit="1"/>
    </xf>
    <xf numFmtId="49" fontId="3" fillId="11" borderId="14" xfId="0" applyNumberFormat="1" applyFont="1" applyFill="1" applyBorder="1" applyAlignment="1" applyProtection="1">
      <alignment horizontal="left" vertical="center" shrinkToFit="1"/>
    </xf>
    <xf numFmtId="49" fontId="5" fillId="11" borderId="12" xfId="0" applyNumberFormat="1" applyFont="1" applyFill="1" applyBorder="1" applyAlignment="1" applyProtection="1">
      <alignment horizontal="left" vertical="center" shrinkToFit="1"/>
    </xf>
    <xf numFmtId="49" fontId="4" fillId="0" borderId="34" xfId="0" applyNumberFormat="1" applyFont="1" applyBorder="1" applyAlignment="1" applyProtection="1">
      <alignment horizontal="left" vertical="center" shrinkToFit="1"/>
      <protection locked="0"/>
    </xf>
    <xf numFmtId="49" fontId="4" fillId="0" borderId="34" xfId="0" applyNumberFormat="1" applyFont="1" applyBorder="1" applyAlignment="1" applyProtection="1">
      <alignment horizontal="center" vertical="center" shrinkToFit="1"/>
      <protection locked="0"/>
    </xf>
    <xf numFmtId="0" fontId="2" fillId="0" borderId="244" xfId="0" applyNumberFormat="1" applyFont="1" applyBorder="1" applyAlignment="1" applyProtection="1">
      <alignment horizontal="left" vertical="center" shrinkToFit="1"/>
    </xf>
    <xf numFmtId="0" fontId="2" fillId="0" borderId="213" xfId="0" applyNumberFormat="1" applyFont="1" applyBorder="1" applyAlignment="1" applyProtection="1">
      <alignment horizontal="left" vertical="center" shrinkToFit="1"/>
    </xf>
    <xf numFmtId="0" fontId="2" fillId="0" borderId="34" xfId="0" applyNumberFormat="1" applyFont="1" applyBorder="1" applyAlignment="1" applyProtection="1">
      <alignment horizontal="left" vertical="center" shrinkToFit="1"/>
    </xf>
    <xf numFmtId="0" fontId="2" fillId="0" borderId="14" xfId="0" applyNumberFormat="1" applyFont="1" applyBorder="1" applyAlignment="1" applyProtection="1">
      <alignment horizontal="left" vertical="center" shrinkToFit="1"/>
    </xf>
    <xf numFmtId="49" fontId="5" fillId="12" borderId="19" xfId="0" applyNumberFormat="1" applyFont="1" applyFill="1" applyBorder="1" applyAlignment="1" applyProtection="1">
      <alignment horizontal="center" vertical="center" shrinkToFit="1"/>
      <protection locked="0"/>
    </xf>
    <xf numFmtId="49" fontId="5" fillId="11" borderId="9" xfId="0" applyNumberFormat="1" applyFont="1" applyFill="1" applyBorder="1" applyAlignment="1" applyProtection="1">
      <alignment horizontal="center" vertical="center" shrinkToFit="1"/>
    </xf>
    <xf numFmtId="49" fontId="5" fillId="12" borderId="21" xfId="0" applyNumberFormat="1" applyFont="1" applyFill="1" applyBorder="1" applyAlignment="1" applyProtection="1">
      <alignment horizontal="center" vertical="center" shrinkToFit="1"/>
      <protection locked="0"/>
    </xf>
    <xf numFmtId="49" fontId="4" fillId="0" borderId="38" xfId="0" applyNumberFormat="1" applyFont="1" applyBorder="1" applyAlignment="1" applyProtection="1">
      <alignment horizontal="left" vertical="center" shrinkToFit="1"/>
      <protection locked="0"/>
    </xf>
    <xf numFmtId="49" fontId="4" fillId="0" borderId="30" xfId="0" applyNumberFormat="1" applyFont="1" applyBorder="1" applyAlignment="1" applyProtection="1">
      <alignment horizontal="left" vertical="center" shrinkToFit="1"/>
      <protection locked="0"/>
    </xf>
    <xf numFmtId="49" fontId="4" fillId="0" borderId="31" xfId="0" applyNumberFormat="1" applyFont="1" applyBorder="1" applyAlignment="1" applyProtection="1">
      <alignment horizontal="left" vertical="center" shrinkToFit="1"/>
      <protection locked="0"/>
    </xf>
    <xf numFmtId="49" fontId="4" fillId="0" borderId="28" xfId="0" applyNumberFormat="1" applyFont="1" applyBorder="1" applyAlignment="1" applyProtection="1">
      <alignment horizontal="left" vertical="center" shrinkToFit="1"/>
      <protection locked="0"/>
    </xf>
    <xf numFmtId="49" fontId="4" fillId="0" borderId="56" xfId="0" applyNumberFormat="1" applyFont="1" applyBorder="1" applyAlignment="1" applyProtection="1">
      <alignment horizontal="left" vertical="center" shrinkToFit="1"/>
      <protection locked="0"/>
    </xf>
    <xf numFmtId="49" fontId="4" fillId="0" borderId="57" xfId="0" applyNumberFormat="1" applyFont="1" applyBorder="1" applyAlignment="1" applyProtection="1">
      <alignment horizontal="left" vertical="center" shrinkToFit="1"/>
      <protection locked="0"/>
    </xf>
    <xf numFmtId="49" fontId="5" fillId="11" borderId="61" xfId="0" applyNumberFormat="1" applyFont="1" applyFill="1" applyBorder="1" applyAlignment="1" applyProtection="1">
      <alignment horizontal="center" vertical="center" shrinkToFit="1"/>
    </xf>
    <xf numFmtId="49" fontId="5" fillId="11" borderId="62" xfId="0" applyNumberFormat="1" applyFont="1" applyFill="1" applyBorder="1" applyAlignment="1" applyProtection="1">
      <alignment horizontal="center" vertical="center" shrinkToFit="1"/>
    </xf>
    <xf numFmtId="49" fontId="5" fillId="11" borderId="63" xfId="0" applyNumberFormat="1" applyFont="1" applyFill="1" applyBorder="1" applyAlignment="1" applyProtection="1">
      <alignment horizontal="center" vertical="center" shrinkToFit="1"/>
    </xf>
    <xf numFmtId="49" fontId="4" fillId="0" borderId="58" xfId="0" applyNumberFormat="1" applyFont="1" applyBorder="1" applyAlignment="1" applyProtection="1">
      <alignment horizontal="left" vertical="center" shrinkToFit="1"/>
      <protection locked="0"/>
    </xf>
    <xf numFmtId="49" fontId="4" fillId="0" borderId="59" xfId="0" applyNumberFormat="1" applyFont="1" applyBorder="1" applyAlignment="1" applyProtection="1">
      <alignment horizontal="left" vertical="center" shrinkToFit="1"/>
      <protection locked="0"/>
    </xf>
    <xf numFmtId="49" fontId="4" fillId="0" borderId="60" xfId="0" applyNumberFormat="1" applyFont="1" applyBorder="1" applyAlignment="1" applyProtection="1">
      <alignment horizontal="left" vertical="center" shrinkToFit="1"/>
      <protection locked="0"/>
    </xf>
    <xf numFmtId="49" fontId="5" fillId="0" borderId="31" xfId="0" applyNumberFormat="1" applyFont="1" applyBorder="1" applyAlignment="1" applyProtection="1">
      <alignment horizontal="left" vertical="center" shrinkToFit="1"/>
      <protection locked="0"/>
    </xf>
    <xf numFmtId="49" fontId="5" fillId="0" borderId="22" xfId="0" applyNumberFormat="1" applyFont="1" applyBorder="1" applyAlignment="1" applyProtection="1">
      <alignment horizontal="left" vertical="center" shrinkToFit="1"/>
      <protection locked="0"/>
    </xf>
    <xf numFmtId="49" fontId="5" fillId="0" borderId="28" xfId="0" applyNumberFormat="1" applyFont="1" applyBorder="1" applyAlignment="1" applyProtection="1">
      <alignment horizontal="left" vertical="center" shrinkToFit="1"/>
      <protection locked="0"/>
    </xf>
    <xf numFmtId="0" fontId="4" fillId="0" borderId="9" xfId="0" applyNumberFormat="1" applyFont="1" applyBorder="1" applyAlignment="1" applyProtection="1">
      <alignment horizontal="center" vertical="center" shrinkToFit="1"/>
      <protection locked="0"/>
    </xf>
    <xf numFmtId="0" fontId="4" fillId="0" borderId="29" xfId="0" applyNumberFormat="1" applyFont="1" applyBorder="1" applyAlignment="1" applyProtection="1">
      <alignment horizontal="center" vertical="center" shrinkToFit="1"/>
      <protection locked="0"/>
    </xf>
    <xf numFmtId="0" fontId="4" fillId="28" borderId="370" xfId="0" applyFont="1" applyFill="1" applyBorder="1" applyAlignment="1" applyProtection="1">
      <alignment horizontal="left" vertical="center" shrinkToFit="1"/>
      <protection locked="0"/>
    </xf>
    <xf numFmtId="0" fontId="4" fillId="28" borderId="368" xfId="0" applyFont="1" applyFill="1" applyBorder="1" applyAlignment="1" applyProtection="1">
      <alignment horizontal="left" vertical="center" shrinkToFit="1"/>
      <protection locked="0"/>
    </xf>
    <xf numFmtId="167" fontId="4" fillId="28" borderId="368" xfId="0" applyNumberFormat="1" applyFont="1" applyFill="1" applyBorder="1" applyAlignment="1" applyProtection="1">
      <alignment horizontal="center" vertical="center" shrinkToFit="1"/>
      <protection locked="0"/>
    </xf>
    <xf numFmtId="3" fontId="4" fillId="28" borderId="368" xfId="0" applyNumberFormat="1" applyFont="1" applyFill="1" applyBorder="1" applyAlignment="1" applyProtection="1">
      <alignment horizontal="center" vertical="center" shrinkToFit="1"/>
      <protection locked="0"/>
    </xf>
    <xf numFmtId="3" fontId="4" fillId="28" borderId="348" xfId="0" applyNumberFormat="1" applyFont="1" applyFill="1" applyBorder="1" applyAlignment="1" applyProtection="1">
      <alignment horizontal="center" vertical="center" shrinkToFit="1"/>
      <protection locked="0"/>
    </xf>
    <xf numFmtId="3" fontId="4" fillId="28" borderId="369" xfId="0" applyNumberFormat="1" applyFont="1" applyFill="1" applyBorder="1" applyAlignment="1" applyProtection="1">
      <alignment horizontal="center" vertical="center" shrinkToFit="1"/>
      <protection locked="0"/>
    </xf>
    <xf numFmtId="3" fontId="4" fillId="28" borderId="371" xfId="0" applyNumberFormat="1" applyFont="1" applyFill="1" applyBorder="1" applyAlignment="1" applyProtection="1">
      <alignment horizontal="center" vertical="center" shrinkToFit="1"/>
      <protection locked="0"/>
    </xf>
    <xf numFmtId="0" fontId="4" fillId="0" borderId="370" xfId="0" applyFont="1" applyBorder="1" applyAlignment="1" applyProtection="1">
      <alignment horizontal="left" vertical="center" shrinkToFit="1"/>
      <protection locked="0"/>
    </xf>
    <xf numFmtId="0" fontId="4" fillId="0" borderId="368" xfId="0" applyFont="1" applyBorder="1" applyAlignment="1" applyProtection="1">
      <alignment horizontal="left" vertical="center" shrinkToFit="1"/>
      <protection locked="0"/>
    </xf>
    <xf numFmtId="167" fontId="4" fillId="0" borderId="368" xfId="0" applyNumberFormat="1" applyFont="1" applyBorder="1" applyAlignment="1" applyProtection="1">
      <alignment horizontal="center" vertical="center" shrinkToFit="1"/>
      <protection locked="0"/>
    </xf>
    <xf numFmtId="3" fontId="4" fillId="0" borderId="368" xfId="0" applyNumberFormat="1" applyFont="1" applyBorder="1" applyAlignment="1" applyProtection="1">
      <alignment horizontal="center" vertical="center" shrinkToFit="1"/>
      <protection locked="0"/>
    </xf>
    <xf numFmtId="3" fontId="4" fillId="0" borderId="348" xfId="0" applyNumberFormat="1" applyFont="1" applyBorder="1" applyAlignment="1" applyProtection="1">
      <alignment horizontal="center" vertical="center" shrinkToFit="1"/>
      <protection locked="0"/>
    </xf>
    <xf numFmtId="3" fontId="4" fillId="0" borderId="369" xfId="0" applyNumberFormat="1" applyFont="1" applyBorder="1" applyAlignment="1" applyProtection="1">
      <alignment horizontal="center" vertical="center" shrinkToFit="1"/>
      <protection locked="0"/>
    </xf>
    <xf numFmtId="3" fontId="4" fillId="0" borderId="371" xfId="0" applyNumberFormat="1" applyFont="1" applyBorder="1" applyAlignment="1" applyProtection="1">
      <alignment horizontal="center" vertical="center" shrinkToFit="1"/>
      <protection locked="0"/>
    </xf>
    <xf numFmtId="0" fontId="4" fillId="28" borderId="372" xfId="0" applyFont="1" applyFill="1" applyBorder="1" applyAlignment="1" applyProtection="1">
      <alignment horizontal="left" vertical="center" shrinkToFit="1"/>
      <protection locked="0"/>
    </xf>
    <xf numFmtId="0" fontId="4" fillId="28" borderId="373" xfId="0" applyFont="1" applyFill="1" applyBorder="1" applyAlignment="1" applyProtection="1">
      <alignment horizontal="left" vertical="center" shrinkToFit="1"/>
      <protection locked="0"/>
    </xf>
    <xf numFmtId="167" fontId="4" fillId="28" borderId="373" xfId="0" applyNumberFormat="1" applyFont="1" applyFill="1" applyBorder="1" applyAlignment="1" applyProtection="1">
      <alignment horizontal="center" vertical="center" shrinkToFit="1"/>
      <protection locked="0"/>
    </xf>
    <xf numFmtId="3" fontId="4" fillId="28" borderId="373" xfId="0" applyNumberFormat="1" applyFont="1" applyFill="1" applyBorder="1" applyAlignment="1" applyProtection="1">
      <alignment horizontal="center" vertical="center" shrinkToFit="1"/>
      <protection locked="0"/>
    </xf>
    <xf numFmtId="3" fontId="4" fillId="28" borderId="374" xfId="0" applyNumberFormat="1" applyFont="1" applyFill="1" applyBorder="1" applyAlignment="1" applyProtection="1">
      <alignment horizontal="center" vertical="center" shrinkToFit="1"/>
      <protection locked="0"/>
    </xf>
    <xf numFmtId="3" fontId="4" fillId="28" borderId="375" xfId="0" applyNumberFormat="1" applyFont="1" applyFill="1" applyBorder="1" applyAlignment="1" applyProtection="1">
      <alignment horizontal="center" vertical="center" shrinkToFit="1"/>
      <protection locked="0"/>
    </xf>
    <xf numFmtId="3" fontId="4" fillId="28" borderId="376" xfId="0" applyNumberFormat="1" applyFont="1" applyFill="1" applyBorder="1" applyAlignment="1" applyProtection="1">
      <alignment horizontal="center" vertical="center" shrinkToFit="1"/>
      <protection locked="0"/>
    </xf>
    <xf numFmtId="167" fontId="4" fillId="0" borderId="368" xfId="0" quotePrefix="1" applyNumberFormat="1" applyFont="1" applyBorder="1" applyAlignment="1" applyProtection="1">
      <alignment horizontal="center" vertical="center" shrinkToFit="1"/>
      <protection locked="0"/>
    </xf>
    <xf numFmtId="49" fontId="3" fillId="27" borderId="380" xfId="0" applyNumberFormat="1" applyFont="1" applyFill="1" applyBorder="1" applyAlignment="1" applyProtection="1">
      <alignment horizontal="left" vertical="center" shrinkToFit="1"/>
    </xf>
    <xf numFmtId="49" fontId="3" fillId="27" borderId="381" xfId="0" applyNumberFormat="1" applyFont="1" applyFill="1" applyBorder="1" applyAlignment="1" applyProtection="1">
      <alignment horizontal="left" vertical="center" shrinkToFit="1"/>
    </xf>
    <xf numFmtId="49" fontId="3" fillId="27" borderId="382" xfId="0" applyNumberFormat="1" applyFont="1" applyFill="1" applyBorder="1" applyAlignment="1" applyProtection="1">
      <alignment horizontal="left" vertical="center" shrinkToFit="1"/>
    </xf>
    <xf numFmtId="0" fontId="2" fillId="0" borderId="383" xfId="0" applyNumberFormat="1" applyFont="1" applyFill="1" applyBorder="1" applyAlignment="1" applyProtection="1">
      <alignment horizontal="left" vertical="center" shrinkToFit="1"/>
    </xf>
    <xf numFmtId="0" fontId="2" fillId="0" borderId="381" xfId="0" applyNumberFormat="1" applyFont="1" applyFill="1" applyBorder="1" applyAlignment="1" applyProtection="1">
      <alignment horizontal="left" vertical="center" shrinkToFit="1"/>
    </xf>
    <xf numFmtId="0" fontId="2" fillId="0" borderId="384" xfId="0" applyNumberFormat="1" applyFont="1" applyFill="1" applyBorder="1" applyAlignment="1" applyProtection="1">
      <alignment horizontal="left" vertical="center" shrinkToFit="1"/>
    </xf>
    <xf numFmtId="0" fontId="12" fillId="27" borderId="116" xfId="0" applyFont="1" applyFill="1" applyBorder="1" applyAlignment="1" applyProtection="1">
      <alignment horizontal="left" vertical="center" shrinkToFit="1"/>
    </xf>
    <xf numFmtId="0" fontId="12" fillId="27" borderId="117" xfId="0" applyFont="1" applyFill="1" applyBorder="1" applyAlignment="1" applyProtection="1">
      <alignment horizontal="left" vertical="center" shrinkToFit="1"/>
    </xf>
    <xf numFmtId="0" fontId="12" fillId="27" borderId="117" xfId="0" applyFont="1" applyFill="1" applyBorder="1" applyAlignment="1" applyProtection="1">
      <alignment horizontal="center" vertical="center" shrinkToFit="1"/>
    </xf>
    <xf numFmtId="0" fontId="12" fillId="27" borderId="118" xfId="0" applyFont="1" applyFill="1" applyBorder="1" applyAlignment="1" applyProtection="1">
      <alignment horizontal="center" vertical="center" shrinkToFit="1"/>
    </xf>
    <xf numFmtId="3" fontId="4" fillId="0" borderId="77" xfId="0" applyNumberFormat="1" applyFont="1" applyBorder="1" applyAlignment="1" applyProtection="1">
      <alignment horizontal="center" vertical="center" shrinkToFit="1"/>
      <protection locked="0"/>
    </xf>
    <xf numFmtId="3" fontId="4" fillId="0" borderId="113" xfId="0" applyNumberFormat="1" applyFont="1" applyBorder="1" applyAlignment="1" applyProtection="1">
      <alignment horizontal="center" vertical="center" shrinkToFit="1"/>
      <protection locked="0"/>
    </xf>
    <xf numFmtId="3" fontId="4" fillId="0" borderId="175" xfId="0" applyNumberFormat="1" applyFont="1" applyBorder="1" applyAlignment="1" applyProtection="1">
      <alignment horizontal="center" vertical="center" shrinkToFit="1"/>
      <protection locked="0"/>
    </xf>
    <xf numFmtId="167" fontId="4" fillId="0" borderId="52" xfId="0" applyNumberFormat="1" applyFont="1" applyBorder="1" applyAlignment="1" applyProtection="1">
      <alignment horizontal="center" vertical="center" shrinkToFit="1"/>
      <protection locked="0"/>
    </xf>
    <xf numFmtId="3" fontId="4" fillId="0" borderId="52" xfId="0" applyNumberFormat="1" applyFont="1" applyBorder="1" applyAlignment="1" applyProtection="1">
      <alignment horizontal="center" vertical="center" shrinkToFit="1"/>
      <protection locked="0"/>
    </xf>
    <xf numFmtId="0" fontId="4" fillId="0" borderId="114" xfId="0" applyFont="1" applyBorder="1" applyAlignment="1" applyProtection="1">
      <alignment horizontal="left" vertical="center" shrinkToFit="1"/>
      <protection locked="0"/>
    </xf>
    <xf numFmtId="0" fontId="4" fillId="0" borderId="52" xfId="0" applyFont="1" applyBorder="1" applyAlignment="1" applyProtection="1">
      <alignment horizontal="left" vertical="center" shrinkToFit="1"/>
      <protection locked="0"/>
    </xf>
    <xf numFmtId="49" fontId="3" fillId="27" borderId="385" xfId="0" applyNumberFormat="1" applyFont="1" applyFill="1" applyBorder="1" applyAlignment="1" applyProtection="1">
      <alignment horizontal="left" vertical="center" shrinkToFit="1"/>
    </xf>
    <xf numFmtId="49" fontId="3" fillId="27" borderId="386" xfId="0" applyNumberFormat="1" applyFont="1" applyFill="1" applyBorder="1" applyAlignment="1" applyProtection="1">
      <alignment horizontal="left" vertical="center" shrinkToFit="1"/>
    </xf>
    <xf numFmtId="49" fontId="3" fillId="27" borderId="387" xfId="0" applyNumberFormat="1" applyFont="1" applyFill="1" applyBorder="1" applyAlignment="1" applyProtection="1">
      <alignment horizontal="left" vertical="center" shrinkToFit="1"/>
    </xf>
    <xf numFmtId="0" fontId="2" fillId="0" borderId="378" xfId="0" applyNumberFormat="1" applyFont="1" applyFill="1" applyBorder="1" applyAlignment="1" applyProtection="1">
      <alignment horizontal="left" vertical="center" shrinkToFit="1"/>
    </xf>
    <xf numFmtId="0" fontId="2" fillId="0" borderId="379" xfId="0" applyNumberFormat="1" applyFont="1" applyFill="1" applyBorder="1" applyAlignment="1" applyProtection="1">
      <alignment horizontal="left" vertical="center" shrinkToFit="1"/>
    </xf>
    <xf numFmtId="0" fontId="5" fillId="27" borderId="377" xfId="0" applyFont="1" applyFill="1" applyBorder="1" applyAlignment="1" applyProtection="1">
      <alignment horizontal="left" vertical="center" shrinkToFit="1"/>
    </xf>
    <xf numFmtId="0" fontId="5" fillId="27" borderId="378" xfId="0" applyFont="1" applyFill="1" applyBorder="1" applyAlignment="1" applyProtection="1">
      <alignment horizontal="left" vertical="center" shrinkToFit="1"/>
    </xf>
    <xf numFmtId="3" fontId="5" fillId="0" borderId="378" xfId="0" applyNumberFormat="1" applyFont="1" applyBorder="1" applyAlignment="1" applyProtection="1">
      <alignment horizontal="center" vertical="center" shrinkToFit="1"/>
    </xf>
    <xf numFmtId="3" fontId="5" fillId="0" borderId="379" xfId="0" applyNumberFormat="1" applyFont="1" applyBorder="1" applyAlignment="1" applyProtection="1">
      <alignment horizontal="center" vertical="center" shrinkToFit="1"/>
    </xf>
    <xf numFmtId="0" fontId="4" fillId="0" borderId="174" xfId="0" applyFont="1" applyFill="1" applyBorder="1" applyAlignment="1" applyProtection="1">
      <alignment horizontal="left" vertical="center" shrinkToFit="1"/>
      <protection locked="0"/>
    </xf>
    <xf numFmtId="0" fontId="4" fillId="0" borderId="182" xfId="0" applyFont="1" applyBorder="1" applyAlignment="1" applyProtection="1">
      <alignment horizontal="center" vertical="center" shrinkToFit="1"/>
      <protection locked="0"/>
    </xf>
    <xf numFmtId="0" fontId="4" fillId="0" borderId="184" xfId="0" applyFont="1" applyBorder="1" applyAlignment="1" applyProtection="1">
      <alignment horizontal="center" vertical="center" shrinkToFit="1"/>
      <protection locked="0"/>
    </xf>
    <xf numFmtId="0" fontId="5" fillId="24" borderId="168" xfId="0" applyFont="1" applyFill="1" applyBorder="1" applyAlignment="1" applyProtection="1">
      <alignment horizontal="center" vertical="center" shrinkToFit="1"/>
    </xf>
    <xf numFmtId="0" fontId="5" fillId="24" borderId="165" xfId="0" applyFont="1" applyFill="1" applyBorder="1" applyAlignment="1" applyProtection="1">
      <alignment horizontal="center" vertical="center" shrinkToFit="1"/>
    </xf>
    <xf numFmtId="0" fontId="5" fillId="24" borderId="166" xfId="0" applyFont="1" applyFill="1" applyBorder="1" applyAlignment="1" applyProtection="1">
      <alignment horizontal="center" vertical="center" shrinkToFit="1"/>
    </xf>
    <xf numFmtId="0" fontId="4" fillId="0" borderId="194" xfId="0" applyFont="1" applyBorder="1" applyAlignment="1" applyProtection="1">
      <alignment horizontal="center" vertical="center" shrinkToFit="1"/>
      <protection locked="0"/>
    </xf>
    <xf numFmtId="0" fontId="4" fillId="0" borderId="195" xfId="0" applyFont="1" applyBorder="1" applyAlignment="1" applyProtection="1">
      <alignment horizontal="center" vertical="center" shrinkToFit="1"/>
      <protection locked="0"/>
    </xf>
    <xf numFmtId="0" fontId="4" fillId="0" borderId="196" xfId="0" applyFont="1" applyBorder="1" applyAlignment="1" applyProtection="1">
      <alignment horizontal="center" vertical="center" shrinkToFit="1"/>
      <protection locked="0"/>
    </xf>
    <xf numFmtId="0" fontId="4" fillId="0" borderId="183" xfId="0" applyFont="1" applyBorder="1" applyAlignment="1" applyProtection="1">
      <alignment horizontal="center" vertical="center" shrinkToFit="1"/>
      <protection locked="0"/>
    </xf>
    <xf numFmtId="49" fontId="3" fillId="22" borderId="198" xfId="0" applyNumberFormat="1" applyFont="1" applyFill="1" applyBorder="1" applyAlignment="1" applyProtection="1">
      <alignment horizontal="left" vertical="center" shrinkToFit="1"/>
    </xf>
    <xf numFmtId="49" fontId="3" fillId="22" borderId="199" xfId="0" applyNumberFormat="1" applyFont="1" applyFill="1" applyBorder="1" applyAlignment="1" applyProtection="1">
      <alignment horizontal="left" vertical="center" shrinkToFit="1"/>
    </xf>
    <xf numFmtId="0" fontId="2" fillId="0" borderId="199" xfId="0" applyNumberFormat="1" applyFont="1" applyBorder="1" applyAlignment="1" applyProtection="1">
      <alignment horizontal="left" vertical="center" shrinkToFit="1"/>
    </xf>
    <xf numFmtId="0" fontId="2" fillId="0" borderId="200" xfId="0" applyNumberFormat="1" applyFont="1" applyBorder="1" applyAlignment="1" applyProtection="1">
      <alignment horizontal="left" vertical="center" shrinkToFit="1"/>
    </xf>
    <xf numFmtId="0" fontId="2" fillId="0" borderId="204" xfId="0" applyNumberFormat="1" applyFont="1" applyBorder="1" applyAlignment="1" applyProtection="1">
      <alignment horizontal="left" vertical="center" shrinkToFit="1"/>
    </xf>
    <xf numFmtId="0" fontId="2" fillId="0" borderId="205" xfId="0" applyNumberFormat="1" applyFont="1" applyBorder="1" applyAlignment="1" applyProtection="1">
      <alignment horizontal="left" vertical="center" shrinkToFit="1"/>
    </xf>
    <xf numFmtId="0" fontId="3" fillId="22" borderId="168" xfId="0" applyFont="1" applyFill="1" applyBorder="1" applyAlignment="1" applyProtection="1">
      <alignment horizontal="center" vertical="center" shrinkToFit="1"/>
    </xf>
    <xf numFmtId="0" fontId="3" fillId="22" borderId="165" xfId="0" applyFont="1" applyFill="1" applyBorder="1" applyAlignment="1" applyProtection="1">
      <alignment horizontal="center" vertical="center" shrinkToFit="1"/>
    </xf>
    <xf numFmtId="0" fontId="3" fillId="22" borderId="166" xfId="0" applyFont="1" applyFill="1" applyBorder="1" applyAlignment="1" applyProtection="1">
      <alignment horizontal="center" vertical="center" shrinkToFit="1"/>
    </xf>
    <xf numFmtId="0" fontId="2" fillId="0" borderId="197" xfId="0" applyNumberFormat="1" applyFont="1" applyFill="1" applyBorder="1" applyAlignment="1" applyProtection="1">
      <alignment horizontal="left" vertical="center" shrinkToFit="1"/>
    </xf>
    <xf numFmtId="0" fontId="2" fillId="0" borderId="202" xfId="0" applyNumberFormat="1" applyFont="1" applyFill="1" applyBorder="1" applyAlignment="1" applyProtection="1">
      <alignment horizontal="left" vertical="center" shrinkToFit="1"/>
    </xf>
    <xf numFmtId="49" fontId="3" fillId="22" borderId="201" xfId="0" applyNumberFormat="1" applyFont="1" applyFill="1" applyBorder="1" applyAlignment="1" applyProtection="1">
      <alignment horizontal="left" vertical="center" shrinkToFit="1"/>
    </xf>
    <xf numFmtId="49" fontId="3" fillId="22" borderId="197" xfId="0" applyNumberFormat="1" applyFont="1" applyFill="1" applyBorder="1" applyAlignment="1" applyProtection="1">
      <alignment horizontal="left" vertical="center" shrinkToFit="1"/>
    </xf>
    <xf numFmtId="0" fontId="4" fillId="0" borderId="95" xfId="0" applyFont="1" applyBorder="1" applyAlignment="1" applyProtection="1">
      <alignment horizontal="center" vertical="center" shrinkToFit="1"/>
      <protection locked="0"/>
    </xf>
    <xf numFmtId="0" fontId="4" fillId="0" borderId="193" xfId="0" applyFont="1" applyBorder="1" applyAlignment="1" applyProtection="1">
      <alignment horizontal="center" vertical="center" shrinkToFit="1"/>
      <protection locked="0"/>
    </xf>
    <xf numFmtId="0" fontId="4" fillId="0" borderId="123" xfId="0" applyFont="1" applyBorder="1" applyAlignment="1" applyProtection="1">
      <alignment horizontal="center" vertical="center" shrinkToFit="1"/>
      <protection locked="0"/>
    </xf>
    <xf numFmtId="0" fontId="4" fillId="0" borderId="77" xfId="0" applyFont="1" applyBorder="1" applyAlignment="1" applyProtection="1">
      <alignment horizontal="center" vertical="center" shrinkToFit="1"/>
      <protection locked="0"/>
    </xf>
    <xf numFmtId="0" fontId="4" fillId="0" borderId="74" xfId="0" applyFont="1" applyBorder="1" applyAlignment="1" applyProtection="1">
      <alignment horizontal="center" vertical="center" shrinkToFit="1"/>
      <protection locked="0"/>
    </xf>
    <xf numFmtId="0" fontId="4" fillId="0" borderId="175" xfId="0" applyFont="1" applyBorder="1" applyAlignment="1" applyProtection="1">
      <alignment horizontal="center" vertical="center" shrinkToFit="1"/>
      <protection locked="0"/>
    </xf>
    <xf numFmtId="0" fontId="4" fillId="0" borderId="178" xfId="0" applyNumberFormat="1" applyFont="1" applyFill="1" applyBorder="1" applyAlignment="1" applyProtection="1">
      <alignment horizontal="left" vertical="center" shrinkToFit="1"/>
      <protection locked="0"/>
    </xf>
    <xf numFmtId="0" fontId="4" fillId="0" borderId="113" xfId="0" applyNumberFormat="1" applyFont="1" applyFill="1" applyBorder="1" applyAlignment="1" applyProtection="1">
      <alignment horizontal="left" vertical="center" shrinkToFit="1"/>
      <protection locked="0"/>
    </xf>
    <xf numFmtId="0" fontId="4" fillId="0" borderId="52" xfId="0" applyFont="1" applyBorder="1" applyAlignment="1" applyProtection="1">
      <alignment horizontal="center" vertical="center" shrinkToFit="1"/>
    </xf>
    <xf numFmtId="0" fontId="4" fillId="0" borderId="179" xfId="0" applyNumberFormat="1" applyFont="1" applyFill="1" applyBorder="1" applyAlignment="1" applyProtection="1">
      <alignment horizontal="left" vertical="center" shrinkToFit="1"/>
      <protection locked="0"/>
    </xf>
    <xf numFmtId="0" fontId="4" fillId="0" borderId="180" xfId="0" applyNumberFormat="1" applyFont="1" applyFill="1" applyBorder="1" applyAlignment="1" applyProtection="1">
      <alignment horizontal="left" vertical="center" shrinkToFit="1"/>
      <protection locked="0"/>
    </xf>
    <xf numFmtId="0" fontId="4" fillId="0" borderId="181" xfId="0" applyFont="1" applyBorder="1" applyAlignment="1" applyProtection="1">
      <alignment horizontal="left" vertical="center" shrinkToFit="1"/>
      <protection locked="0"/>
    </xf>
    <xf numFmtId="0" fontId="4" fillId="0" borderId="181" xfId="0" applyFont="1" applyBorder="1" applyAlignment="1" applyProtection="1">
      <alignment horizontal="center" vertical="center" shrinkToFit="1"/>
    </xf>
    <xf numFmtId="0" fontId="5" fillId="6" borderId="117" xfId="0" applyFont="1" applyFill="1" applyBorder="1" applyAlignment="1" applyProtection="1">
      <alignment horizontal="center" vertical="center" shrinkToFit="1"/>
    </xf>
    <xf numFmtId="0" fontId="5" fillId="6" borderId="117" xfId="0" applyFont="1" applyFill="1" applyBorder="1" applyAlignment="1" applyProtection="1">
      <alignment horizontal="left" vertical="center" shrinkToFit="1"/>
    </xf>
    <xf numFmtId="0" fontId="5" fillId="6" borderId="118" xfId="0" applyFont="1" applyFill="1" applyBorder="1" applyAlignment="1" applyProtection="1">
      <alignment horizontal="center" vertical="center" shrinkToFit="1"/>
    </xf>
    <xf numFmtId="0" fontId="5" fillId="6" borderId="176" xfId="0" applyFont="1" applyFill="1" applyBorder="1" applyAlignment="1" applyProtection="1">
      <alignment horizontal="left" vertical="center" shrinkToFit="1"/>
    </xf>
    <xf numFmtId="0" fontId="5" fillId="6" borderId="177" xfId="0" applyFont="1" applyFill="1" applyBorder="1" applyAlignment="1" applyProtection="1">
      <alignment horizontal="left" vertical="center" shrinkToFit="1"/>
    </xf>
    <xf numFmtId="0" fontId="4" fillId="0" borderId="192" xfId="0" applyFont="1" applyBorder="1" applyAlignment="1" applyProtection="1">
      <alignment horizontal="center" vertical="center" shrinkToFit="1"/>
      <protection locked="0"/>
    </xf>
    <xf numFmtId="0" fontId="4" fillId="0" borderId="88" xfId="0" applyFont="1" applyBorder="1" applyAlignment="1" applyProtection="1">
      <alignment horizontal="center" vertical="center" shrinkToFit="1"/>
      <protection locked="0"/>
    </xf>
    <xf numFmtId="0" fontId="4" fillId="0" borderId="173" xfId="0" applyFont="1" applyBorder="1" applyAlignment="1" applyProtection="1">
      <alignment horizontal="center" vertical="center" shrinkToFit="1"/>
      <protection locked="0"/>
    </xf>
    <xf numFmtId="0" fontId="4" fillId="0" borderId="110" xfId="0" applyFont="1" applyBorder="1" applyAlignment="1" applyProtection="1">
      <alignment horizontal="center" vertical="center" shrinkToFit="1"/>
      <protection locked="0"/>
    </xf>
    <xf numFmtId="0" fontId="4" fillId="0" borderId="111" xfId="0" applyFont="1" applyBorder="1" applyAlignment="1" applyProtection="1">
      <alignment horizontal="center" vertical="center" shrinkToFit="1"/>
      <protection locked="0"/>
    </xf>
    <xf numFmtId="0" fontId="8" fillId="0" borderId="110" xfId="0" applyFont="1" applyBorder="1" applyAlignment="1" applyProtection="1">
      <alignment horizontal="center" vertical="center" shrinkToFit="1"/>
      <protection locked="0"/>
    </xf>
    <xf numFmtId="0" fontId="4" fillId="0" borderId="209" xfId="0" applyFont="1" applyBorder="1" applyAlignment="1" applyProtection="1">
      <alignment horizontal="center" vertical="center" shrinkToFit="1"/>
      <protection locked="0"/>
    </xf>
    <xf numFmtId="0" fontId="4" fillId="0" borderId="210" xfId="0" applyFont="1" applyBorder="1" applyAlignment="1" applyProtection="1">
      <alignment horizontal="center" vertical="center" shrinkToFit="1"/>
      <protection locked="0"/>
    </xf>
    <xf numFmtId="0" fontId="8" fillId="0" borderId="209" xfId="0" applyFont="1" applyBorder="1" applyAlignment="1" applyProtection="1">
      <alignment horizontal="center" vertical="center" shrinkToFit="1"/>
      <protection locked="0"/>
    </xf>
    <xf numFmtId="0" fontId="5" fillId="7" borderId="206" xfId="0" applyFont="1" applyFill="1" applyBorder="1" applyAlignment="1" applyProtection="1">
      <alignment horizontal="center" vertical="center" shrinkToFit="1"/>
    </xf>
    <xf numFmtId="0" fontId="5" fillId="7" borderId="207" xfId="0" applyFont="1" applyFill="1" applyBorder="1" applyAlignment="1" applyProtection="1">
      <alignment horizontal="center" vertical="center" shrinkToFit="1"/>
    </xf>
    <xf numFmtId="1" fontId="5" fillId="18" borderId="109" xfId="0" applyNumberFormat="1" applyFont="1" applyFill="1" applyBorder="1" applyAlignment="1" applyProtection="1">
      <alignment horizontal="center" vertical="center" shrinkToFit="1"/>
    </xf>
    <xf numFmtId="0" fontId="5" fillId="18" borderId="190" xfId="0" applyFont="1" applyFill="1" applyBorder="1" applyAlignment="1" applyProtection="1">
      <alignment horizontal="center" vertical="center" shrinkToFit="1"/>
    </xf>
    <xf numFmtId="0" fontId="4" fillId="0" borderId="208" xfId="0" applyFont="1" applyBorder="1" applyAlignment="1" applyProtection="1">
      <alignment horizontal="center" vertical="center" shrinkToFit="1"/>
      <protection locked="0"/>
    </xf>
    <xf numFmtId="0" fontId="4" fillId="0" borderId="191" xfId="0" applyFont="1" applyBorder="1" applyAlignment="1" applyProtection="1">
      <alignment horizontal="center" vertical="center" shrinkToFit="1"/>
      <protection locked="0"/>
    </xf>
    <xf numFmtId="0" fontId="4" fillId="0" borderId="172" xfId="0" applyFont="1" applyBorder="1" applyAlignment="1" applyProtection="1">
      <alignment horizontal="center" vertical="center" shrinkToFit="1"/>
      <protection locked="0"/>
    </xf>
    <xf numFmtId="0" fontId="4" fillId="0" borderId="120" xfId="0" applyFont="1" applyBorder="1" applyAlignment="1" applyProtection="1">
      <alignment horizontal="center" vertical="center" shrinkToFit="1"/>
      <protection locked="0"/>
    </xf>
    <xf numFmtId="0" fontId="8" fillId="0" borderId="172" xfId="0" applyFont="1" applyBorder="1" applyAlignment="1" applyProtection="1">
      <alignment horizontal="center" vertical="center" shrinkToFit="1"/>
      <protection locked="0"/>
    </xf>
    <xf numFmtId="0" fontId="4" fillId="0" borderId="188" xfId="0" applyFont="1" applyBorder="1" applyAlignment="1" applyProtection="1">
      <alignment horizontal="center" vertical="center" shrinkToFit="1"/>
      <protection locked="0"/>
    </xf>
    <xf numFmtId="0" fontId="4" fillId="0" borderId="189" xfId="0" applyFont="1" applyBorder="1" applyAlignment="1" applyProtection="1">
      <alignment horizontal="center" vertical="center" shrinkToFit="1"/>
      <protection locked="0"/>
    </xf>
    <xf numFmtId="0" fontId="8" fillId="0" borderId="188" xfId="0" applyFont="1" applyBorder="1" applyAlignment="1" applyProtection="1">
      <alignment horizontal="center" vertical="center" shrinkToFit="1"/>
      <protection locked="0"/>
    </xf>
    <xf numFmtId="49" fontId="3" fillId="22" borderId="203" xfId="0" applyNumberFormat="1" applyFont="1" applyFill="1" applyBorder="1" applyAlignment="1" applyProtection="1">
      <alignment horizontal="left" vertical="center" shrinkToFit="1"/>
    </xf>
    <xf numFmtId="49" fontId="3" fillId="22" borderId="204" xfId="0" applyNumberFormat="1" applyFont="1" applyFill="1" applyBorder="1" applyAlignment="1" applyProtection="1">
      <alignment horizontal="left" vertical="center" shrinkToFit="1"/>
    </xf>
    <xf numFmtId="0" fontId="5" fillId="7" borderId="185" xfId="0" applyFont="1" applyFill="1" applyBorder="1" applyAlignment="1" applyProtection="1">
      <alignment horizontal="center" vertical="center" shrinkToFit="1"/>
    </xf>
    <xf numFmtId="0" fontId="5" fillId="7" borderId="186" xfId="0" applyFont="1" applyFill="1" applyBorder="1" applyAlignment="1" applyProtection="1">
      <alignment horizontal="center" vertical="center" shrinkToFit="1"/>
    </xf>
    <xf numFmtId="1" fontId="5" fillId="18" borderId="119" xfId="0" applyNumberFormat="1" applyFont="1" applyFill="1" applyBorder="1" applyAlignment="1" applyProtection="1">
      <alignment horizontal="center" vertical="center" shrinkToFit="1"/>
    </xf>
    <xf numFmtId="0" fontId="5" fillId="18" borderId="92" xfId="0" applyFont="1" applyFill="1" applyBorder="1" applyAlignment="1" applyProtection="1">
      <alignment horizontal="center" vertical="center" shrinkToFit="1"/>
    </xf>
    <xf numFmtId="0" fontId="4" fillId="0" borderId="121" xfId="0" applyFont="1" applyBorder="1" applyAlignment="1" applyProtection="1">
      <alignment horizontal="center" vertical="center" shrinkToFit="1"/>
      <protection locked="0"/>
    </xf>
    <xf numFmtId="0" fontId="4" fillId="0" borderId="187" xfId="0" applyFont="1" applyBorder="1" applyAlignment="1" applyProtection="1">
      <alignment horizontal="center" vertical="center" shrinkToFit="1"/>
      <protection locked="0"/>
    </xf>
    <xf numFmtId="0" fontId="0" fillId="0" borderId="325" xfId="0" applyFont="1" applyFill="1" applyBorder="1" applyAlignment="1" applyProtection="1">
      <alignment horizontal="center" vertical="center"/>
      <protection locked="0"/>
    </xf>
    <xf numFmtId="0" fontId="0" fillId="0" borderId="74" xfId="0" applyFont="1" applyFill="1" applyBorder="1" applyAlignment="1" applyProtection="1">
      <alignment horizontal="center" vertical="center"/>
      <protection locked="0"/>
    </xf>
    <xf numFmtId="49" fontId="16" fillId="0" borderId="414" xfId="0" applyNumberFormat="1" applyFont="1" applyFill="1" applyBorder="1" applyAlignment="1">
      <alignment horizontal="center" vertical="center"/>
    </xf>
    <xf numFmtId="0" fontId="16" fillId="0" borderId="414" xfId="0" applyFont="1" applyFill="1" applyBorder="1" applyAlignment="1">
      <alignment vertical="center" shrinkToFit="1"/>
    </xf>
    <xf numFmtId="0" fontId="16" fillId="0" borderId="414" xfId="0" applyFont="1" applyBorder="1" applyAlignment="1">
      <alignment horizontal="left" vertical="center" shrinkToFit="1"/>
    </xf>
    <xf numFmtId="0" fontId="16" fillId="0" borderId="414" xfId="0" applyNumberFormat="1" applyFont="1" applyBorder="1" applyAlignment="1">
      <alignment horizontal="left" vertical="center" shrinkToFit="1"/>
    </xf>
    <xf numFmtId="0" fontId="16" fillId="0" borderId="408" xfId="0" applyNumberFormat="1" applyFont="1" applyFill="1" applyBorder="1" applyAlignment="1">
      <alignment horizontal="left" vertical="center" shrinkToFit="1"/>
    </xf>
    <xf numFmtId="0" fontId="0" fillId="9" borderId="420" xfId="0" applyFill="1" applyBorder="1" applyAlignment="1" applyProtection="1">
      <alignment horizontal="center"/>
    </xf>
  </cellXfs>
  <cellStyles count="8">
    <cellStyle name="Ergebnis 1" xfId="2"/>
    <cellStyle name="Ergebnis 2" xfId="3"/>
    <cellStyle name="Euro" xfId="4"/>
    <cellStyle name="Prozent 2" xfId="5"/>
    <cellStyle name="Standard" xfId="0" builtinId="0"/>
    <cellStyle name="Standard 2" xfId="1"/>
    <cellStyle name="Überschrift 5" xfId="6"/>
    <cellStyle name="Überschrift 6" xfId="7"/>
  </cellStyles>
  <dxfs count="53">
    <dxf>
      <numFmt numFmtId="172" formatCode="&quot;+&quot;0"/>
    </dxf>
    <dxf>
      <font>
        <b val="0"/>
        <condense val="0"/>
        <extend val="0"/>
        <color indexed="9"/>
      </font>
    </dxf>
    <dxf>
      <font>
        <b/>
        <i val="0"/>
        <color rgb="FFFF0000"/>
      </font>
      <numFmt numFmtId="0" formatCode="General"/>
    </dxf>
    <dxf>
      <fill>
        <patternFill>
          <bgColor rgb="FFFF0000"/>
        </patternFill>
      </fill>
    </dxf>
    <dxf>
      <fill>
        <patternFill>
          <bgColor rgb="FFFF0000"/>
        </patternFill>
      </fill>
    </dxf>
    <dxf>
      <numFmt numFmtId="167" formatCode="\+0"/>
    </dxf>
    <dxf>
      <numFmt numFmtId="167" formatCode="\+0"/>
    </dxf>
    <dxf>
      <font>
        <b/>
        <i val="0"/>
        <color rgb="FFFF0000"/>
      </font>
    </dxf>
    <dxf>
      <numFmt numFmtId="172" formatCode="&quot;+&quot;0"/>
    </dxf>
    <dxf>
      <numFmt numFmtId="172" formatCode="&quot;+&quot;0"/>
    </dxf>
    <dxf>
      <numFmt numFmtId="172" formatCode="&quot;+&quot;0"/>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167" formatCode="\+0"/>
    </dxf>
    <dxf>
      <numFmt numFmtId="167" formatCode="\+0"/>
    </dxf>
    <dxf>
      <font>
        <color rgb="FFFF0000"/>
      </font>
    </dxf>
    <dxf>
      <font>
        <b/>
        <i val="0"/>
        <color rgb="FFFF0000"/>
      </font>
    </dxf>
    <dxf>
      <numFmt numFmtId="172" formatCode="&quot;+&quot;0"/>
    </dxf>
    <dxf>
      <font>
        <color theme="1"/>
      </font>
    </dxf>
    <dxf>
      <numFmt numFmtId="172" formatCode="&quot;+&quot;0"/>
    </dxf>
    <dxf>
      <numFmt numFmtId="172" formatCode="&quot;+&quot;0"/>
    </dxf>
    <dxf>
      <numFmt numFmtId="172" formatCode="&quot;+&quot;0"/>
    </dxf>
    <dxf>
      <numFmt numFmtId="172" formatCode="&quot;+&quot;0"/>
    </dxf>
    <dxf>
      <numFmt numFmtId="172" formatCode="&quot;+&quot;0"/>
    </dxf>
    <dxf>
      <font>
        <b val="0"/>
        <i val="0"/>
      </font>
      <fill>
        <patternFill>
          <bgColor rgb="FFFF0000"/>
        </patternFill>
      </fill>
    </dxf>
    <dxf>
      <numFmt numFmtId="172" formatCode="&quot;+&quot;0"/>
    </dxf>
    <dxf>
      <numFmt numFmtId="172" formatCode="&quot;+&quot;0"/>
    </dxf>
    <dxf>
      <numFmt numFmtId="172" formatCode="&quot;+&quot;0"/>
    </dxf>
    <dxf>
      <numFmt numFmtId="172" formatCode="&quot;+&quot;0"/>
    </dxf>
    <dxf>
      <numFmt numFmtId="172" formatCode="&quot;+&quot;0"/>
    </dxf>
    <dxf>
      <numFmt numFmtId="172" formatCode="&quot;+&quot;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AE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66"/>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2F2F"/>
      <color rgb="FFFF0000"/>
      <color rgb="FFF7D985"/>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34</xdr:col>
      <xdr:colOff>66675</xdr:colOff>
      <xdr:row>12</xdr:row>
      <xdr:rowOff>38100</xdr:rowOff>
    </xdr:from>
    <xdr:to>
      <xdr:col>37</xdr:col>
      <xdr:colOff>47625</xdr:colOff>
      <xdr:row>14</xdr:row>
      <xdr:rowOff>161925</xdr:rowOff>
    </xdr:to>
    <xdr:sp macro="" textlink="">
      <xdr:nvSpPr>
        <xdr:cNvPr id="1026" name="AutoShape 12"/>
        <xdr:cNvSpPr>
          <a:spLocks noChangeArrowheads="1"/>
        </xdr:cNvSpPr>
      </xdr:nvSpPr>
      <xdr:spPr bwMode="auto">
        <a:xfrm>
          <a:off x="3952875" y="1733550"/>
          <a:ext cx="323850" cy="381000"/>
        </a:xfrm>
        <a:prstGeom prst="star4">
          <a:avLst>
            <a:gd name="adj" fmla="val 12500"/>
          </a:avLst>
        </a:prstGeom>
        <a:solidFill>
          <a:srgbClr val="FFFFFF"/>
        </a:solidFill>
        <a:ln w="9360">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48</xdr:col>
      <xdr:colOff>19050</xdr:colOff>
      <xdr:row>16</xdr:row>
      <xdr:rowOff>19050</xdr:rowOff>
    </xdr:from>
    <xdr:to>
      <xdr:col>56</xdr:col>
      <xdr:colOff>0</xdr:colOff>
      <xdr:row>21</xdr:row>
      <xdr:rowOff>30480</xdr:rowOff>
    </xdr:to>
    <xdr:sp macro="" textlink="">
      <xdr:nvSpPr>
        <xdr:cNvPr id="1032" name="AutoShape 8"/>
        <xdr:cNvSpPr>
          <a:spLocks noChangeAspect="1" noChangeArrowheads="1"/>
        </xdr:cNvSpPr>
      </xdr:nvSpPr>
      <xdr:spPr bwMode="auto">
        <a:xfrm>
          <a:off x="5505450" y="2228850"/>
          <a:ext cx="895350" cy="838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43</xdr:col>
      <xdr:colOff>38100</xdr:colOff>
      <xdr:row>15</xdr:row>
      <xdr:rowOff>30480</xdr:rowOff>
    </xdr:from>
    <xdr:to>
      <xdr:col>56</xdr:col>
      <xdr:colOff>40107</xdr:colOff>
      <xdr:row>17</xdr:row>
      <xdr:rowOff>182880</xdr:rowOff>
    </xdr:to>
    <xdr:pic>
      <xdr:nvPicPr>
        <xdr:cNvPr id="6" name="Grafik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53000" y="1981200"/>
          <a:ext cx="1487907" cy="403860"/>
        </a:xfrm>
        <a:prstGeom prst="rect">
          <a:avLst/>
        </a:prstGeom>
      </xdr:spPr>
    </xdr:pic>
    <xdr:clientData/>
  </xdr:twoCellAnchor>
  <xdr:twoCellAnchor>
    <xdr:from>
      <xdr:col>47</xdr:col>
      <xdr:colOff>83820</xdr:colOff>
      <xdr:row>18</xdr:row>
      <xdr:rowOff>15240</xdr:rowOff>
    </xdr:from>
    <xdr:to>
      <xdr:col>54</xdr:col>
      <xdr:colOff>110223</xdr:colOff>
      <xdr:row>20</xdr:row>
      <xdr:rowOff>152400</xdr:rowOff>
    </xdr:to>
    <xdr:pic>
      <xdr:nvPicPr>
        <xdr:cNvPr id="7" name="Picture 4"/>
        <xdr:cNvPicPr>
          <a:picLocks noChangeAspect="1" noChangeArrowheads="1"/>
        </xdr:cNvPicPr>
      </xdr:nvPicPr>
      <xdr:blipFill>
        <a:blip xmlns:r="http://schemas.openxmlformats.org/officeDocument/2006/relationships" r:embed="rId2"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5455920" y="2407920"/>
          <a:ext cx="826503" cy="38862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45</xdr:col>
      <xdr:colOff>60961</xdr:colOff>
      <xdr:row>0</xdr:row>
      <xdr:rowOff>60960</xdr:rowOff>
    </xdr:from>
    <xdr:to>
      <xdr:col>57</xdr:col>
      <xdr:colOff>110763</xdr:colOff>
      <xdr:row>4</xdr:row>
      <xdr:rowOff>119700</xdr:rowOff>
    </xdr:to>
    <xdr:pic>
      <xdr:nvPicPr>
        <xdr:cNvPr id="4" name="Picture 4"/>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5204461" y="60960"/>
          <a:ext cx="1421402" cy="66834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pic>
    <xdr:clientData/>
  </xdr:twoCellAnchor>
  <xdr:twoCellAnchor>
    <xdr:from>
      <xdr:col>1</xdr:col>
      <xdr:colOff>15240</xdr:colOff>
      <xdr:row>0</xdr:row>
      <xdr:rowOff>60960</xdr:rowOff>
    </xdr:from>
    <xdr:to>
      <xdr:col>13</xdr:col>
      <xdr:colOff>65042</xdr:colOff>
      <xdr:row>4</xdr:row>
      <xdr:rowOff>119700</xdr:rowOff>
    </xdr:to>
    <xdr:pic>
      <xdr:nvPicPr>
        <xdr:cNvPr id="5" name="Picture 4"/>
        <xdr:cNvPicPr>
          <a:picLocks noChangeAspect="1" noChangeArrowheads="1"/>
        </xdr:cNvPicPr>
      </xdr:nvPicPr>
      <xdr:blipFill>
        <a:blip xmlns:r="http://schemas.openxmlformats.org/officeDocument/2006/relationships" r:embed="rId1"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129540" y="60960"/>
          <a:ext cx="1421402" cy="66834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pic>
    <xdr:clientData/>
  </xdr:twoCellAnchor>
  <xdr:twoCellAnchor editAs="oneCell">
    <xdr:from>
      <xdr:col>16</xdr:col>
      <xdr:colOff>106680</xdr:colOff>
      <xdr:row>0</xdr:row>
      <xdr:rowOff>0</xdr:rowOff>
    </xdr:from>
    <xdr:to>
      <xdr:col>42</xdr:col>
      <xdr:colOff>91440</xdr:colOff>
      <xdr:row>5</xdr:row>
      <xdr:rowOff>40494</xdr:rowOff>
    </xdr:to>
    <xdr:pic>
      <xdr:nvPicPr>
        <xdr:cNvPr id="7" name="Grafik 6"/>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35480" y="0"/>
          <a:ext cx="2956560" cy="8024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xdr:colOff>
      <xdr:row>4</xdr:row>
      <xdr:rowOff>6350</xdr:rowOff>
    </xdr:from>
    <xdr:to>
      <xdr:col>58</xdr:col>
      <xdr:colOff>6350</xdr:colOff>
      <xdr:row>8</xdr:row>
      <xdr:rowOff>114300</xdr:rowOff>
    </xdr:to>
    <xdr:sp macro="" textlink="" fLocksText="0">
      <xdr:nvSpPr>
        <xdr:cNvPr id="2" name="Textfeld 1"/>
        <xdr:cNvSpPr txBox="1"/>
      </xdr:nvSpPr>
      <xdr:spPr>
        <a:xfrm>
          <a:off x="12700" y="635000"/>
          <a:ext cx="6623050" cy="76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000">
            <a:latin typeface="Times New Roman" panose="02020603050405020304" pitchFamily="18" charset="0"/>
            <a:cs typeface="Times New Roman" panose="02020603050405020304" pitchFamily="18" charset="0"/>
          </a:endParaRPr>
        </a:p>
      </xdr:txBody>
    </xdr:sp>
    <xdr:clientData fLocksWithSheet="0"/>
  </xdr:twoCellAnchor>
  <xdr:twoCellAnchor>
    <xdr:from>
      <xdr:col>0</xdr:col>
      <xdr:colOff>19050</xdr:colOff>
      <xdr:row>10</xdr:row>
      <xdr:rowOff>6350</xdr:rowOff>
    </xdr:from>
    <xdr:to>
      <xdr:col>57</xdr:col>
      <xdr:colOff>107950</xdr:colOff>
      <xdr:row>15</xdr:row>
      <xdr:rowOff>120650</xdr:rowOff>
    </xdr:to>
    <xdr:sp macro="" textlink="" fLocksText="0">
      <xdr:nvSpPr>
        <xdr:cNvPr id="3" name="Textfeld 2"/>
        <xdr:cNvSpPr txBox="1"/>
      </xdr:nvSpPr>
      <xdr:spPr>
        <a:xfrm>
          <a:off x="19050" y="1625600"/>
          <a:ext cx="6604000" cy="93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000">
            <a:latin typeface="Times New Roman" panose="02020603050405020304" pitchFamily="18" charset="0"/>
            <a:cs typeface="Times New Roman" panose="02020603050405020304" pitchFamily="18" charset="0"/>
          </a:endParaRPr>
        </a:p>
      </xdr:txBody>
    </xdr:sp>
    <xdr:clientData fLocksWithSheet="0"/>
  </xdr:twoCellAnchor>
  <xdr:twoCellAnchor>
    <xdr:from>
      <xdr:col>0</xdr:col>
      <xdr:colOff>19050</xdr:colOff>
      <xdr:row>17</xdr:row>
      <xdr:rowOff>0</xdr:rowOff>
    </xdr:from>
    <xdr:to>
      <xdr:col>57</xdr:col>
      <xdr:colOff>107950</xdr:colOff>
      <xdr:row>52</xdr:row>
      <xdr:rowOff>127000</xdr:rowOff>
    </xdr:to>
    <xdr:sp macro="" textlink="" fLocksText="0">
      <xdr:nvSpPr>
        <xdr:cNvPr id="4" name="Textfeld 3"/>
        <xdr:cNvSpPr txBox="1"/>
      </xdr:nvSpPr>
      <xdr:spPr>
        <a:xfrm>
          <a:off x="19050" y="2774950"/>
          <a:ext cx="6604000" cy="590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e-DE" sz="1000">
            <a:latin typeface="Times New Roman" panose="02020603050405020304" pitchFamily="18" charset="0"/>
            <a:cs typeface="Times New Roman" panose="02020603050405020304" pitchFamily="18" charset="0"/>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76201</xdr:colOff>
      <xdr:row>0</xdr:row>
      <xdr:rowOff>0</xdr:rowOff>
    </xdr:from>
    <xdr:to>
      <xdr:col>20</xdr:col>
      <xdr:colOff>83821</xdr:colOff>
      <xdr:row>3</xdr:row>
      <xdr:rowOff>51054</xdr:rowOff>
    </xdr:to>
    <xdr:pic>
      <xdr:nvPicPr>
        <xdr:cNvPr id="2"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1" y="0"/>
          <a:ext cx="2293620" cy="622554"/>
        </a:xfrm>
        <a:prstGeom prst="rect">
          <a:avLst/>
        </a:prstGeom>
      </xdr:spPr>
    </xdr:pic>
    <xdr:clientData/>
  </xdr:twoCellAnchor>
  <xdr:twoCellAnchor>
    <xdr:from>
      <xdr:col>22</xdr:col>
      <xdr:colOff>0</xdr:colOff>
      <xdr:row>0</xdr:row>
      <xdr:rowOff>53340</xdr:rowOff>
    </xdr:from>
    <xdr:to>
      <xdr:col>31</xdr:col>
      <xdr:colOff>57099</xdr:colOff>
      <xdr:row>2</xdr:row>
      <xdr:rowOff>182880</xdr:rowOff>
    </xdr:to>
    <xdr:pic>
      <xdr:nvPicPr>
        <xdr:cNvPr id="4" name="Picture 4"/>
        <xdr:cNvPicPr>
          <a:picLocks noChangeAspect="1" noChangeArrowheads="1"/>
        </xdr:cNvPicPr>
      </xdr:nvPicPr>
      <xdr:blipFill>
        <a:blip xmlns:r="http://schemas.openxmlformats.org/officeDocument/2006/relationships" r:embed="rId2" cstate="print">
          <a:duotone>
            <a:prstClr val="black"/>
            <a:schemeClr val="accent6">
              <a:tint val="45000"/>
              <a:satMod val="400000"/>
            </a:schemeClr>
          </a:duotone>
          <a:extLst>
            <a:ext uri="{28A0092B-C50C-407E-A947-70E740481C1C}">
              <a14:useLocalDpi xmlns:a14="http://schemas.microsoft.com/office/drawing/2010/main" val="0"/>
            </a:ext>
          </a:extLst>
        </a:blip>
        <a:srcRect/>
        <a:stretch>
          <a:fillRect/>
        </a:stretch>
      </xdr:blipFill>
      <xdr:spPr bwMode="auto">
        <a:xfrm>
          <a:off x="2514600" y="53340"/>
          <a:ext cx="1085799" cy="510540"/>
        </a:xfrm>
        <a:prstGeom prst="rect">
          <a:avLst/>
        </a:prstGeom>
        <a:solidFill>
          <a:srgbClr xmlns:mc="http://schemas.openxmlformats.org/markup-compatibility/2006" xmlns:a14="http://schemas.microsoft.com/office/drawing/2010/main" val="FFFFFF" mc:Ignorable="a14" a14:legacySpreadsheetColorIndex="65"/>
        </a:solid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19051</xdr:colOff>
      <xdr:row>1</xdr:row>
      <xdr:rowOff>28574</xdr:rowOff>
    </xdr:from>
    <xdr:to>
      <xdr:col>11</xdr:col>
      <xdr:colOff>714375</xdr:colOff>
      <xdr:row>28</xdr:row>
      <xdr:rowOff>1</xdr:rowOff>
    </xdr:to>
    <xdr:sp macro="" textlink="">
      <xdr:nvSpPr>
        <xdr:cNvPr id="2" name="Textfeld 1"/>
        <xdr:cNvSpPr txBox="1"/>
      </xdr:nvSpPr>
      <xdr:spPr>
        <a:xfrm>
          <a:off x="19051" y="285749"/>
          <a:ext cx="9077324" cy="4343402"/>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de-DE" sz="1100">
              <a:latin typeface="Arial" pitchFamily="34" charset="0"/>
              <a:cs typeface="Arial" pitchFamily="34" charset="0"/>
            </a:rPr>
            <a:t>Dieser Charakterbogen ist hauptsächlich dafür gedacht, dass Erschaffen und Verwalten eines neuen Midgard-Charakters zu erleichtern,</a:t>
          </a:r>
          <a:r>
            <a:rPr lang="de-DE" sz="1100" baseline="0">
              <a:latin typeface="Arial" pitchFamily="34" charset="0"/>
              <a:cs typeface="Arial" pitchFamily="34" charset="0"/>
            </a:rPr>
            <a:t> er kann aber selbstverständlich auch für einen bereits vorhandenen Charakter genutzt werden. Der Charakterbogen ist auf die 5.Version der offiziellen Midgard-Regeln (M5) angepasst, einschließlich der Konvertierungsregeln von M4 nach M5.</a:t>
          </a:r>
        </a:p>
        <a:p>
          <a:pPr algn="just"/>
          <a:endParaRPr lang="de-DE" sz="1100" baseline="0">
            <a:latin typeface="Arial" pitchFamily="34" charset="0"/>
            <a:cs typeface="Arial" pitchFamily="34" charset="0"/>
          </a:endParaRPr>
        </a:p>
        <a:p>
          <a:pPr algn="just"/>
          <a:r>
            <a:rPr lang="de-DE" sz="1100" baseline="0">
              <a:latin typeface="Arial" pitchFamily="34" charset="0"/>
              <a:cs typeface="Arial" pitchFamily="34" charset="0"/>
            </a:rPr>
            <a:t>Damit der Charakterbogen möglichst vielfältig genutzt werden kann, habe ich darauf geachtet, dass man ihn einfach leer ausdrucken und ganz klassisch mit Bleistift und Radiergummi nutzen kann. Eigentlich ist er jedoch dazu gedacht ihn am PC auszufüllen.</a:t>
          </a:r>
        </a:p>
        <a:p>
          <a:pPr algn="just"/>
          <a:endParaRPr lang="de-DE" sz="1100">
            <a:latin typeface="Arial" pitchFamily="34" charset="0"/>
            <a:cs typeface="Arial" pitchFamily="34" charset="0"/>
          </a:endParaRPr>
        </a:p>
        <a:p>
          <a:pPr algn="just"/>
          <a:r>
            <a:rPr lang="de-DE" sz="1100">
              <a:latin typeface="Arial" pitchFamily="34" charset="0"/>
              <a:cs typeface="Arial" pitchFamily="34" charset="0"/>
            </a:rPr>
            <a:t>Beim Erschaffen oder Neu-Eintragen eines Charakters sollte man unbedingt mit</a:t>
          </a:r>
          <a:r>
            <a:rPr lang="de-DE" sz="1100" baseline="0">
              <a:latin typeface="Arial" pitchFamily="34" charset="0"/>
              <a:cs typeface="Arial" pitchFamily="34" charset="0"/>
            </a:rPr>
            <a:t> dem Tabellenblatt </a:t>
          </a:r>
          <a:r>
            <a:rPr lang="de-DE" sz="1100" b="1">
              <a:solidFill>
                <a:srgbClr val="FFFF00"/>
              </a:solidFill>
              <a:effectLst/>
              <a:latin typeface="Arial" pitchFamily="34" charset="0"/>
              <a:ea typeface="+mn-ea"/>
              <a:cs typeface="Arial" pitchFamily="34" charset="0"/>
            </a:rPr>
            <a:t>„Erschaffungshilfe“ </a:t>
          </a:r>
          <a:r>
            <a:rPr lang="de-DE" sz="1100" baseline="0">
              <a:latin typeface="Arial" pitchFamily="34" charset="0"/>
              <a:cs typeface="Arial" pitchFamily="34" charset="0"/>
            </a:rPr>
            <a:t>beginnen und sich an die dort vorgeschlagene Reihenfolge zur </a:t>
          </a:r>
          <a:r>
            <a:rPr lang="de-DE" sz="1100" b="1" baseline="0">
              <a:latin typeface="Arial" pitchFamily="34" charset="0"/>
              <a:cs typeface="Arial" pitchFamily="34" charset="0"/>
            </a:rPr>
            <a:t>Charaktererschaffung</a:t>
          </a:r>
          <a:r>
            <a:rPr lang="de-DE" sz="1100" baseline="0">
              <a:latin typeface="Arial" pitchFamily="34" charset="0"/>
              <a:cs typeface="Arial" pitchFamily="34" charset="0"/>
            </a:rPr>
            <a:t> halten.</a:t>
          </a:r>
        </a:p>
        <a:p>
          <a:pPr algn="just"/>
          <a:endParaRPr lang="de-DE" sz="1100" baseline="0">
            <a:latin typeface="Arial" pitchFamily="34" charset="0"/>
            <a:cs typeface="Arial" pitchFamily="34" charset="0"/>
          </a:endParaRPr>
        </a:p>
        <a:p>
          <a:pPr algn="just"/>
          <a:r>
            <a:rPr lang="de-DE" sz="1100" baseline="0">
              <a:latin typeface="Arial" pitchFamily="34" charset="0"/>
              <a:cs typeface="Arial" pitchFamily="34" charset="0"/>
            </a:rPr>
            <a:t>Da der Charakterbogen insgesamt sehr viele Formeln (aber keine Makros oder VBS!) und damit automatische Berechnungen enthält, sind nur die Zellen freigegeben, in die Daten eingegeben werden können. In die Dropdown-Felder kann alles, was in der Dropdown-Liste ausgewählt werden kann, auch direkt eingegeben werden. Bitte auf die richtige Schreibweise achten, im Zweifelsfall einfach das gewünschte aus der Dropdown-Liste auswählen.</a:t>
          </a:r>
        </a:p>
        <a:p>
          <a:pPr algn="just"/>
          <a:endParaRPr lang="de-DE" sz="1100" baseline="0">
            <a:latin typeface="Arial" pitchFamily="34" charset="0"/>
            <a:cs typeface="Arial" pitchFamily="34" charset="0"/>
          </a:endParaRPr>
        </a:p>
        <a:p>
          <a:pPr algn="just"/>
          <a:r>
            <a:rPr lang="de-DE" sz="1100">
              <a:latin typeface="Arial" pitchFamily="34" charset="0"/>
              <a:cs typeface="Arial" pitchFamily="34" charset="0"/>
            </a:rPr>
            <a:t>Bitte wundert Euch nicht, wenn vielleicht an der einen oder anderen Stelle Fehler angezeigt werden oder sinnlose Werte stehen, </a:t>
          </a:r>
          <a:r>
            <a:rPr lang="de-DE" sz="1100" u="sng">
              <a:latin typeface="Arial" pitchFamily="34" charset="0"/>
              <a:cs typeface="Arial" pitchFamily="34" charset="0"/>
            </a:rPr>
            <a:t>bevor</a:t>
          </a:r>
          <a:r>
            <a:rPr lang="de-DE" sz="1100">
              <a:latin typeface="Arial" pitchFamily="34" charset="0"/>
              <a:cs typeface="Arial" pitchFamily="34" charset="0"/>
            </a:rPr>
            <a:t> Ihr Euren Charakter </a:t>
          </a:r>
          <a:r>
            <a:rPr lang="de-DE" sz="1100" u="sng">
              <a:latin typeface="Arial" pitchFamily="34" charset="0"/>
              <a:cs typeface="Arial" pitchFamily="34" charset="0"/>
            </a:rPr>
            <a:t>vollständig</a:t>
          </a:r>
          <a:r>
            <a:rPr lang="de-DE" sz="1100">
              <a:latin typeface="Arial" pitchFamily="34" charset="0"/>
              <a:cs typeface="Arial" pitchFamily="34" charset="0"/>
            </a:rPr>
            <a:t> eingegeben habt. Viele Werte</a:t>
          </a:r>
          <a:r>
            <a:rPr lang="de-DE" sz="1100" baseline="0">
              <a:latin typeface="Arial" pitchFamily="34" charset="0"/>
              <a:cs typeface="Arial" pitchFamily="34" charset="0"/>
            </a:rPr>
            <a:t> können erst berechnet werden, wenn alle Daten vorhanden sind. Darum sollten die vorhandenen Formeln auch nicht leichtfertig verändert oder gelöscht werden. Damit dies nicht versehentlich geschieht, sind die Arbeitsblätter geschützt (Passwort: </a:t>
          </a:r>
          <a:r>
            <a:rPr lang="de-DE" sz="1100">
              <a:solidFill>
                <a:schemeClr val="dk1"/>
              </a:solidFill>
              <a:effectLst/>
              <a:latin typeface="Arial" pitchFamily="34" charset="0"/>
              <a:ea typeface="+mn-ea"/>
              <a:cs typeface="Arial" pitchFamily="34" charset="0"/>
            </a:rPr>
            <a:t>„</a:t>
          </a:r>
          <a:r>
            <a:rPr lang="de-DE" sz="1100" i="1">
              <a:solidFill>
                <a:schemeClr val="dk1"/>
              </a:solidFill>
              <a:effectLst/>
              <a:latin typeface="Arial" pitchFamily="34" charset="0"/>
              <a:ea typeface="+mn-ea"/>
              <a:cs typeface="Arial" pitchFamily="34" charset="0"/>
            </a:rPr>
            <a:t>Midgard</a:t>
          </a:r>
          <a:r>
            <a:rPr lang="de-DE" sz="1100">
              <a:solidFill>
                <a:schemeClr val="dk1"/>
              </a:solidFill>
              <a:effectLst/>
              <a:latin typeface="Arial" pitchFamily="34" charset="0"/>
              <a:ea typeface="+mn-ea"/>
              <a:cs typeface="Arial" pitchFamily="34" charset="0"/>
            </a:rPr>
            <a:t>“</a:t>
          </a:r>
          <a:r>
            <a:rPr lang="de-DE" sz="1100" baseline="0">
              <a:latin typeface="Arial" pitchFamily="34" charset="0"/>
              <a:cs typeface="Arial" pitchFamily="34" charset="0"/>
            </a:rPr>
            <a:t>).</a:t>
          </a:r>
        </a:p>
        <a:p>
          <a:pPr algn="just"/>
          <a:endParaRPr lang="de-DE" sz="1100" baseline="0">
            <a:latin typeface="Arial" pitchFamily="34" charset="0"/>
            <a:cs typeface="Arial" pitchFamily="34" charset="0"/>
          </a:endParaRPr>
        </a:p>
        <a:p>
          <a:pPr algn="just"/>
          <a:r>
            <a:rPr lang="de-DE" sz="1100" baseline="0">
              <a:latin typeface="Arial" pitchFamily="34" charset="0"/>
              <a:cs typeface="Arial" pitchFamily="34" charset="0"/>
            </a:rPr>
            <a:t>Wer sich mit Excel ein bißchen auskennt, kann den Charakterbogen sicherlich recht leicht an seine Bedürfnisse anpassen und ggf. die Formeln an der einen oder anderen Stelle ändern oder einfach überschreiben. Für Fehlermeldungen, Anregungen oder Verbesserungsvorschläge kontaktiert mich einfach über das Midgard-Forum (www.midgard-forum.de; Username "Shadow").</a:t>
          </a:r>
        </a:p>
        <a:p>
          <a:pPr algn="just"/>
          <a:endParaRPr lang="de-DE" sz="1100" baseline="0">
            <a:latin typeface="Arial" pitchFamily="34" charset="0"/>
            <a:cs typeface="Arial" pitchFamily="34" charset="0"/>
          </a:endParaRPr>
        </a:p>
        <a:p>
          <a:pPr algn="just"/>
          <a:r>
            <a:rPr lang="de-DE" sz="1100" baseline="0">
              <a:latin typeface="Arial" pitchFamily="34" charset="0"/>
              <a:cs typeface="Arial" pitchFamily="34" charset="0"/>
            </a:rPr>
            <a:t>Viel Spass mit dem Charakterbogen,</a:t>
          </a:r>
        </a:p>
        <a:p>
          <a:pPr algn="just"/>
          <a:r>
            <a:rPr lang="de-DE" sz="1100" baseline="0">
              <a:latin typeface="Arial" pitchFamily="34" charset="0"/>
              <a:cs typeface="Arial" pitchFamily="34" charset="0"/>
            </a:rPr>
            <a:t>Jens</a:t>
          </a:r>
          <a:endParaRPr lang="de-DE" sz="1100">
            <a:latin typeface="Arial" pitchFamily="34" charset="0"/>
            <a:cs typeface="Arial" pitchFamily="34" charset="0"/>
          </a:endParaRPr>
        </a:p>
      </xdr:txBody>
    </xdr:sp>
    <xdr:clientData/>
  </xdr:twoCellAnchor>
  <xdr:oneCellAnchor>
    <xdr:from>
      <xdr:col>2</xdr:col>
      <xdr:colOff>609600</xdr:colOff>
      <xdr:row>28</xdr:row>
      <xdr:rowOff>19050</xdr:rowOff>
    </xdr:from>
    <xdr:ext cx="4924425" cy="1857375"/>
    <xdr:sp macro="" textlink="">
      <xdr:nvSpPr>
        <xdr:cNvPr id="4" name="Textfeld 3"/>
        <xdr:cNvSpPr txBox="1"/>
      </xdr:nvSpPr>
      <xdr:spPr>
        <a:xfrm>
          <a:off x="2133600" y="4648200"/>
          <a:ext cx="4924425" cy="1857375"/>
        </a:xfrm>
        <a:prstGeom prst="rect">
          <a:avLst/>
        </a:prstGeom>
        <a:solidFill>
          <a:schemeClr val="accent6">
            <a:lumMod val="40000"/>
            <a:lumOff val="60000"/>
          </a:schemeClr>
        </a:solidFill>
        <a:ln w="254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de-DE" sz="1050" b="1">
              <a:solidFill>
                <a:schemeClr val="tx1"/>
              </a:solidFill>
              <a:effectLst/>
              <a:latin typeface="+mn-lt"/>
              <a:ea typeface="+mn-ea"/>
              <a:cs typeface="+mn-cs"/>
            </a:rPr>
            <a:t>Impressum</a:t>
          </a:r>
          <a:endParaRPr lang="de-DE" sz="1050">
            <a:effectLst/>
          </a:endParaRPr>
        </a:p>
        <a:p>
          <a:pPr algn="ctr"/>
          <a:endParaRPr lang="de-DE" sz="800">
            <a:solidFill>
              <a:schemeClr val="tx1"/>
            </a:solidFill>
            <a:effectLst/>
            <a:latin typeface="+mn-lt"/>
            <a:ea typeface="+mn-ea"/>
            <a:cs typeface="+mn-cs"/>
          </a:endParaRPr>
        </a:p>
        <a:p>
          <a:pPr algn="ctr"/>
          <a:r>
            <a:rPr lang="de-DE" sz="1050">
              <a:solidFill>
                <a:schemeClr val="tx1"/>
              </a:solidFill>
              <a:effectLst/>
              <a:latin typeface="+mn-lt"/>
              <a:ea typeface="+mn-ea"/>
              <a:cs typeface="+mn-cs"/>
            </a:rPr>
            <a:t>Verantwortlich</a:t>
          </a:r>
          <a:r>
            <a:rPr lang="de-DE" sz="1050" baseline="0">
              <a:solidFill>
                <a:schemeClr val="tx1"/>
              </a:solidFill>
              <a:effectLst/>
              <a:latin typeface="+mn-lt"/>
              <a:ea typeface="+mn-ea"/>
              <a:cs typeface="+mn-cs"/>
            </a:rPr>
            <a:t> für diesen Midgard-Charakterbogen und Erschaffungshilfe ist:</a:t>
          </a:r>
        </a:p>
        <a:p>
          <a:pPr algn="ctr"/>
          <a:r>
            <a:rPr lang="de-DE" sz="1050" baseline="0">
              <a:solidFill>
                <a:schemeClr val="tx1"/>
              </a:solidFill>
              <a:effectLst/>
              <a:latin typeface="+mn-lt"/>
              <a:ea typeface="+mn-ea"/>
              <a:cs typeface="+mn-cs"/>
            </a:rPr>
            <a:t>Jens Burkhard</a:t>
          </a:r>
          <a:endParaRPr lang="de-DE" sz="1050">
            <a:effectLst/>
          </a:endParaRPr>
        </a:p>
        <a:p>
          <a:pPr algn="ctr"/>
          <a:r>
            <a:rPr lang="de-DE" sz="1050" baseline="0">
              <a:solidFill>
                <a:schemeClr val="tx1"/>
              </a:solidFill>
              <a:effectLst/>
              <a:latin typeface="+mn-lt"/>
              <a:ea typeface="+mn-ea"/>
              <a:cs typeface="+mn-cs"/>
            </a:rPr>
            <a:t>Hermann-Schmitt-Str. 9</a:t>
          </a:r>
          <a:endParaRPr lang="de-DE" sz="1050">
            <a:effectLst/>
          </a:endParaRPr>
        </a:p>
        <a:p>
          <a:pPr algn="ctr"/>
          <a:r>
            <a:rPr lang="de-DE" sz="1050" baseline="0">
              <a:solidFill>
                <a:schemeClr val="tx1"/>
              </a:solidFill>
              <a:effectLst/>
              <a:latin typeface="+mn-lt"/>
              <a:ea typeface="+mn-ea"/>
              <a:cs typeface="+mn-cs"/>
            </a:rPr>
            <a:t>64572 Büttelborn</a:t>
          </a:r>
        </a:p>
        <a:p>
          <a:pPr algn="ctr"/>
          <a:endParaRPr lang="de-DE" sz="800">
            <a:effectLst/>
          </a:endParaRPr>
        </a:p>
        <a:p>
          <a:pPr algn="ctr"/>
          <a:r>
            <a:rPr lang="de-DE" sz="1050">
              <a:solidFill>
                <a:schemeClr val="tx1"/>
              </a:solidFill>
              <a:effectLst/>
              <a:latin typeface="+mn-lt"/>
              <a:ea typeface="+mn-ea"/>
              <a:cs typeface="+mn-cs"/>
            </a:rPr>
            <a:t>Veröffentlichung unter der Lizenz des Verlages für F&amp;SF-Spiele.</a:t>
          </a:r>
          <a:endParaRPr lang="de-DE" sz="1050">
            <a:effectLst/>
          </a:endParaRPr>
        </a:p>
        <a:p>
          <a:pPr algn="ctr"/>
          <a:r>
            <a:rPr lang="de-DE" sz="1050">
              <a:solidFill>
                <a:schemeClr val="tx1"/>
              </a:solidFill>
              <a:effectLst/>
              <a:latin typeface="+mn-lt"/>
              <a:ea typeface="+mn-ea"/>
              <a:cs typeface="+mn-cs"/>
            </a:rPr>
            <a:t>© für MIDGARD (Regeln und Daten):</a:t>
          </a:r>
          <a:endParaRPr lang="de-DE" sz="1050">
            <a:effectLst/>
          </a:endParaRPr>
        </a:p>
        <a:p>
          <a:pPr algn="ctr"/>
          <a:r>
            <a:rPr lang="de-DE" sz="1050">
              <a:solidFill>
                <a:schemeClr val="tx1"/>
              </a:solidFill>
              <a:effectLst/>
              <a:latin typeface="+mn-lt"/>
              <a:ea typeface="+mn-ea"/>
              <a:cs typeface="+mn-cs"/>
            </a:rPr>
            <a:t>Elsa Franke -Verlag für F&amp;SF-Spiele, Stelzenberg-</a:t>
          </a:r>
          <a:endParaRPr lang="de-DE" sz="1050">
            <a:effectLst/>
          </a:endParaRPr>
        </a:p>
        <a:p>
          <a:pPr algn="ctr"/>
          <a:r>
            <a:rPr lang="de-DE" sz="1050">
              <a:solidFill>
                <a:schemeClr val="tx1"/>
              </a:solidFill>
              <a:effectLst/>
              <a:latin typeface="+mn-lt"/>
              <a:ea typeface="+mn-ea"/>
              <a:cs typeface="+mn-cs"/>
            </a:rPr>
            <a:t>email: vfsf@midgard-online.de</a:t>
          </a:r>
          <a:endParaRPr lang="de-DE" sz="1050">
            <a:effectLst/>
          </a:endParaRPr>
        </a:p>
      </xdr:txBody>
    </xdr:sp>
    <xdr:clientData/>
  </xdr:one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enableFormatConditionsCalculation="0">
    <tabColor theme="8" tint="0.39997558519241921"/>
    <pageSetUpPr fitToPage="1"/>
  </sheetPr>
  <dimension ref="A1:BG62"/>
  <sheetViews>
    <sheetView showGridLines="0" zoomScale="125" zoomScaleNormal="125" workbookViewId="0">
      <selection activeCell="E1" sqref="E1:S1"/>
    </sheetView>
  </sheetViews>
  <sheetFormatPr baseColWidth="10" defaultColWidth="1.7109375" defaultRowHeight="15.75" x14ac:dyDescent="0.2"/>
  <cols>
    <col min="1" max="16384" width="1.7109375" style="1"/>
  </cols>
  <sheetData>
    <row r="1" spans="1:58" ht="15" customHeight="1" x14ac:dyDescent="0.2">
      <c r="A1" s="521" t="s">
        <v>181</v>
      </c>
      <c r="B1" s="521"/>
      <c r="C1" s="521"/>
      <c r="D1" s="521"/>
      <c r="E1" s="522"/>
      <c r="F1" s="522"/>
      <c r="G1" s="522"/>
      <c r="H1" s="522"/>
      <c r="I1" s="522"/>
      <c r="J1" s="522"/>
      <c r="K1" s="522"/>
      <c r="L1" s="522"/>
      <c r="M1" s="522"/>
      <c r="N1" s="522"/>
      <c r="O1" s="522"/>
      <c r="P1" s="522"/>
      <c r="Q1" s="522"/>
      <c r="R1" s="522"/>
      <c r="S1" s="522"/>
      <c r="U1" s="521" t="s">
        <v>0</v>
      </c>
      <c r="V1" s="521"/>
      <c r="W1" s="521"/>
      <c r="X1" s="530"/>
      <c r="Y1" s="531"/>
      <c r="Z1" s="531"/>
      <c r="AA1" s="531"/>
      <c r="AB1" s="531"/>
      <c r="AC1" s="531"/>
      <c r="AD1" s="531"/>
      <c r="AE1" s="531"/>
      <c r="AF1" s="531"/>
      <c r="AG1" s="532"/>
      <c r="AI1" s="521" t="s">
        <v>1</v>
      </c>
      <c r="AJ1" s="521"/>
      <c r="AK1" s="521"/>
      <c r="AL1" s="521"/>
      <c r="AM1" s="542" t="str">
        <f>IF(ISBLANK(Typ),"",VLOOKUP(MAX(E29:H62,S29:V62),EPTabelle,2,TRUE))</f>
        <v/>
      </c>
      <c r="AN1" s="542"/>
      <c r="AP1" s="521" t="s">
        <v>2</v>
      </c>
      <c r="AQ1" s="521"/>
      <c r="AR1" s="521"/>
      <c r="AS1" s="521"/>
      <c r="AT1" s="521"/>
      <c r="AU1" s="522"/>
      <c r="AV1" s="522"/>
      <c r="AW1" s="522"/>
      <c r="AX1" s="522"/>
      <c r="AY1" s="522"/>
      <c r="AZ1" s="522"/>
      <c r="BA1" s="522"/>
      <c r="BB1" s="522"/>
      <c r="BC1" s="522"/>
      <c r="BD1" s="522"/>
      <c r="BE1" s="522"/>
      <c r="BF1" s="522"/>
    </row>
    <row r="2" spans="1:58" ht="5.0999999999999996" customHeight="1" x14ac:dyDescent="0.2"/>
    <row r="3" spans="1:58" ht="15" customHeight="1" x14ac:dyDescent="0.2">
      <c r="A3" s="529" t="s">
        <v>3</v>
      </c>
      <c r="B3" s="521"/>
      <c r="C3" s="521"/>
      <c r="D3" s="521"/>
      <c r="E3" s="530"/>
      <c r="F3" s="531"/>
      <c r="G3" s="531"/>
      <c r="H3" s="531"/>
      <c r="I3" s="532"/>
      <c r="K3" s="551" t="s">
        <v>270</v>
      </c>
      <c r="L3" s="551"/>
      <c r="M3" s="551"/>
      <c r="N3" s="551"/>
      <c r="O3" s="551"/>
      <c r="P3" s="551"/>
      <c r="Q3" s="552"/>
      <c r="R3" s="553"/>
      <c r="S3" s="553"/>
      <c r="T3" s="553"/>
      <c r="U3" s="554"/>
      <c r="W3" s="535" t="s">
        <v>5</v>
      </c>
      <c r="X3" s="536"/>
      <c r="Y3" s="536"/>
      <c r="Z3" s="537"/>
      <c r="AA3" s="538" t="str">
        <f>IF(AND(Rasse="Mensch",Geschlecht="männlich"),Notizen!$G$54,IF(AND(Rasse="Mensch",Geschlecht="weiblich"),Notizen!$G$55,IF(Rasse="Elf",Notizen!$G$56,IF(OR(Rasse="Berggnom",Rasse="Waldgnom"),Notizen!$G$57,IF(Rasse="Halbling",Notizen!$G$58,IF(Rasse="Zwerg",Notizen!$G$59,""))))))</f>
        <v/>
      </c>
      <c r="AB3" s="539"/>
      <c r="AC3" s="539"/>
      <c r="AD3" s="540"/>
      <c r="AF3" s="521" t="s">
        <v>6</v>
      </c>
      <c r="AG3" s="521"/>
      <c r="AH3" s="521"/>
      <c r="AI3" s="521"/>
      <c r="AJ3" s="541" t="str">
        <f>IF(AND(Rasse="Mensch",Geschlecht="männlich"),Notizen!$G$62,IF(AND(Rasse="Mensch",Geschlecht="weiblich"),Notizen!$G$63,IF(Rasse="Elf",Notizen!$G$64,IF(OR(Rasse="Berggnom",Rasse="Waldgnom"),Notizen!$G$65,IF(Rasse="Halbling",Notizen!$G$66,IF(Rasse="Zwerg",Notizen!$G$67,""))))))</f>
        <v/>
      </c>
      <c r="AK3" s="541"/>
      <c r="AL3" s="541"/>
      <c r="AM3" s="541"/>
      <c r="AR3" s="548" t="s">
        <v>236</v>
      </c>
      <c r="AS3" s="549"/>
      <c r="AT3" s="549"/>
      <c r="AU3" s="549"/>
      <c r="AV3" s="550"/>
      <c r="AW3" s="533" t="str">
        <f>IF(OR(Rasse="",Größe="",Gewicht=""),"",IF(AND(Größe&gt;0,Größe&lt;=1.65),"klein",IF(AND(Größe&gt;1.65,Größe&lt;1.81),"mittelgroß","groß")))</f>
        <v/>
      </c>
      <c r="AX3" s="534"/>
      <c r="AY3" s="534"/>
      <c r="AZ3" s="534"/>
      <c r="BA3" s="534"/>
      <c r="BB3" s="534" t="str">
        <f>IF(OR(Rasse="",Größe="",Gewicht=""),"",IF(OR(Rasse="Mensch",Rasse="Elf"),IF(AND(Gewicht&gt;=((Größe*100-100)*0.9),Gewicht&lt;=((Größe*100-100)*1.1)),"normal",IF(Gewicht&lt;((Größe*100-100)*0.9),"schlank","breit")),IF(AND(Gewicht&gt;=((Größe*100-70)*0.9),Gewicht&lt;=((Größe*100-70)*1.1)),"normal",IF(Gewicht&lt;((Größe*100-70)*0.9),"schlank","breit"))))</f>
        <v/>
      </c>
      <c r="BC3" s="534"/>
      <c r="BD3" s="534"/>
      <c r="BE3" s="534"/>
      <c r="BF3" s="545"/>
    </row>
    <row r="4" spans="1:58" ht="5.0999999999999996" customHeight="1" x14ac:dyDescent="0.2"/>
    <row r="5" spans="1:58" ht="15" customHeight="1" x14ac:dyDescent="0.2">
      <c r="A5" s="521" t="s">
        <v>8</v>
      </c>
      <c r="B5" s="521"/>
      <c r="C5" s="521"/>
      <c r="D5" s="521"/>
      <c r="E5" s="522"/>
      <c r="F5" s="522"/>
      <c r="G5" s="522"/>
      <c r="H5" s="522"/>
      <c r="I5" s="522"/>
      <c r="J5" s="522"/>
      <c r="K5" s="522"/>
      <c r="L5" s="522"/>
      <c r="M5" s="522"/>
      <c r="N5" s="522"/>
      <c r="P5" s="521" t="s">
        <v>9</v>
      </c>
      <c r="Q5" s="521"/>
      <c r="R5" s="521"/>
      <c r="S5" s="521"/>
      <c r="T5" s="523"/>
      <c r="U5" s="546"/>
      <c r="V5" s="547"/>
      <c r="W5" s="547"/>
      <c r="X5" s="547"/>
      <c r="Y5" s="547"/>
      <c r="Z5" s="547"/>
      <c r="AA5" s="547"/>
      <c r="AB5" s="547"/>
      <c r="AC5" s="547"/>
      <c r="AD5" s="547"/>
      <c r="AE5" s="547"/>
      <c r="AF5" s="547"/>
      <c r="AG5" s="547"/>
      <c r="AH5" s="519"/>
      <c r="AJ5" s="521" t="s">
        <v>10</v>
      </c>
      <c r="AK5" s="521"/>
      <c r="AL5" s="521"/>
      <c r="AM5" s="521"/>
      <c r="AN5" s="523"/>
      <c r="AO5" s="524" t="str">
        <f>+Stand</f>
        <v/>
      </c>
      <c r="AP5" s="525"/>
      <c r="AQ5" s="525"/>
      <c r="AR5" s="525"/>
      <c r="AS5" s="525"/>
      <c r="AT5" s="526"/>
      <c r="AX5" s="521" t="s">
        <v>7</v>
      </c>
      <c r="AY5" s="521"/>
      <c r="AZ5" s="521"/>
      <c r="BA5" s="521"/>
      <c r="BB5" s="556" t="str">
        <f>+Alter</f>
        <v/>
      </c>
      <c r="BC5" s="556"/>
      <c r="BD5" s="556"/>
      <c r="BE5" s="556"/>
      <c r="BF5" s="556"/>
    </row>
    <row r="6" spans="1:58" ht="5.0999999999999996" customHeight="1" x14ac:dyDescent="0.2"/>
    <row r="7" spans="1:58" ht="15" customHeight="1" x14ac:dyDescent="0.2">
      <c r="A7" s="527" t="s">
        <v>11</v>
      </c>
      <c r="B7" s="527"/>
      <c r="C7" s="527"/>
      <c r="D7" s="527"/>
      <c r="E7" s="557"/>
      <c r="F7" s="558"/>
      <c r="G7" s="558"/>
      <c r="H7" s="558"/>
      <c r="I7" s="558"/>
      <c r="J7" s="558"/>
      <c r="K7" s="559"/>
      <c r="L7" s="560"/>
      <c r="M7" s="561"/>
      <c r="N7" s="561"/>
      <c r="O7" s="561"/>
      <c r="P7" s="561"/>
      <c r="Q7" s="561"/>
      <c r="R7" s="561"/>
      <c r="S7" s="561"/>
      <c r="T7" s="561"/>
      <c r="U7" s="561"/>
      <c r="V7" s="561"/>
      <c r="W7" s="561"/>
      <c r="X7" s="561"/>
      <c r="Y7" s="561"/>
      <c r="Z7" s="561"/>
      <c r="AA7" s="561"/>
      <c r="AB7" s="561"/>
      <c r="AC7" s="561"/>
      <c r="AD7" s="561"/>
      <c r="AE7" s="561"/>
      <c r="AF7" s="561"/>
      <c r="AG7" s="561"/>
      <c r="AH7" s="561"/>
      <c r="AI7" s="561"/>
      <c r="AJ7" s="561"/>
      <c r="AK7" s="561"/>
      <c r="AL7" s="561"/>
      <c r="AM7" s="561"/>
      <c r="AN7" s="561"/>
      <c r="AO7" s="561"/>
      <c r="AP7" s="561"/>
      <c r="AQ7" s="561"/>
      <c r="AR7" s="561"/>
      <c r="AS7" s="562"/>
      <c r="AU7" s="527" t="s">
        <v>235</v>
      </c>
      <c r="AV7" s="527"/>
      <c r="AW7" s="527"/>
      <c r="AX7" s="527"/>
      <c r="AY7" s="527"/>
      <c r="AZ7" s="527"/>
      <c r="BA7" s="527"/>
      <c r="BB7" s="555"/>
      <c r="BC7" s="555"/>
      <c r="BD7" s="555"/>
      <c r="BE7" s="555"/>
      <c r="BF7" s="555"/>
    </row>
    <row r="8" spans="1:58" ht="5.0999999999999996" customHeight="1" x14ac:dyDescent="0.2"/>
    <row r="9" spans="1:58" ht="15" customHeight="1" x14ac:dyDescent="0.2">
      <c r="A9" s="516" t="s">
        <v>888</v>
      </c>
      <c r="B9" s="516"/>
      <c r="C9" s="516"/>
      <c r="D9" s="516"/>
      <c r="E9" s="516"/>
      <c r="F9" s="516"/>
      <c r="G9" s="543"/>
      <c r="H9" s="543"/>
      <c r="I9" s="543"/>
      <c r="J9" s="543"/>
      <c r="K9" s="543"/>
      <c r="L9" s="543"/>
      <c r="M9" s="543"/>
      <c r="N9" s="543"/>
      <c r="O9" s="543"/>
      <c r="P9" s="543"/>
      <c r="Q9" s="543"/>
      <c r="R9" s="543"/>
      <c r="S9" s="543"/>
      <c r="T9" s="543"/>
      <c r="U9" s="543"/>
      <c r="V9" s="543"/>
      <c r="W9" s="543"/>
      <c r="X9" s="543"/>
      <c r="Y9" s="543"/>
      <c r="Z9" s="543"/>
      <c r="AA9" s="543"/>
      <c r="AB9" s="543"/>
      <c r="AC9" s="543"/>
      <c r="AD9" s="543"/>
      <c r="AE9" s="543"/>
      <c r="AF9" s="543"/>
      <c r="AG9" s="543"/>
      <c r="AH9" s="543"/>
      <c r="AI9" s="543"/>
      <c r="AJ9" s="543"/>
      <c r="AN9" s="544" t="s">
        <v>889</v>
      </c>
      <c r="AO9" s="544"/>
      <c r="AP9" s="544"/>
      <c r="AQ9" s="544"/>
      <c r="AR9" s="544"/>
      <c r="AS9" s="544"/>
      <c r="AT9" s="544"/>
      <c r="AU9" s="544"/>
      <c r="AV9" s="544"/>
      <c r="AW9" s="544"/>
      <c r="AX9" s="544"/>
      <c r="AY9" s="532"/>
      <c r="AZ9" s="522"/>
      <c r="BA9" s="522"/>
      <c r="BB9" s="522"/>
      <c r="BC9" s="522"/>
      <c r="BD9" s="522"/>
      <c r="BE9" s="522"/>
      <c r="BF9" s="522"/>
    </row>
    <row r="10" spans="1:58" ht="5.0999999999999996" customHeight="1" x14ac:dyDescent="0.2"/>
    <row r="11" spans="1:58" ht="15" customHeight="1" x14ac:dyDescent="0.2">
      <c r="A11" s="516" t="s">
        <v>12</v>
      </c>
      <c r="B11" s="516"/>
      <c r="C11" s="516"/>
      <c r="D11" s="516"/>
      <c r="E11" s="516"/>
      <c r="F11" s="516"/>
      <c r="G11" s="517"/>
      <c r="H11" s="518"/>
      <c r="I11" s="518"/>
      <c r="J11" s="518"/>
      <c r="K11" s="518"/>
      <c r="L11" s="518"/>
      <c r="M11" s="518"/>
      <c r="N11" s="518"/>
      <c r="O11" s="518"/>
      <c r="P11" s="518"/>
      <c r="Q11" s="518"/>
      <c r="R11" s="518"/>
      <c r="S11" s="518"/>
      <c r="T11" s="518"/>
      <c r="U11" s="518"/>
      <c r="V11" s="518"/>
      <c r="W11" s="518"/>
      <c r="X11" s="518"/>
      <c r="Y11" s="518"/>
      <c r="Z11" s="518"/>
      <c r="AA11" s="518"/>
      <c r="AB11" s="518"/>
      <c r="AC11" s="518"/>
      <c r="AD11" s="518"/>
      <c r="AE11" s="518"/>
      <c r="AF11" s="518"/>
      <c r="AG11" s="518"/>
      <c r="AH11" s="518"/>
      <c r="AI11" s="518"/>
      <c r="AJ11" s="519"/>
      <c r="AK11" s="8"/>
      <c r="AL11" s="8"/>
      <c r="AM11" s="8"/>
      <c r="AN11" s="528" t="s">
        <v>1189</v>
      </c>
      <c r="AO11" s="528"/>
      <c r="AP11" s="528"/>
      <c r="AQ11" s="528"/>
      <c r="AR11" s="528"/>
      <c r="AS11" s="528"/>
      <c r="AT11" s="528"/>
      <c r="AU11" s="528"/>
      <c r="AV11" s="528"/>
      <c r="AW11" s="528"/>
      <c r="AX11" s="528"/>
      <c r="AY11" s="520"/>
      <c r="AZ11" s="520"/>
      <c r="BA11" s="520"/>
      <c r="BB11" s="520"/>
      <c r="BC11" s="520"/>
      <c r="BD11" s="520"/>
      <c r="BE11" s="520"/>
      <c r="BF11" s="520"/>
    </row>
    <row r="12" spans="1:58" ht="5.0999999999999996" customHeight="1" x14ac:dyDescent="0.2"/>
    <row r="13" spans="1:58" ht="15" customHeight="1" x14ac:dyDescent="0.2">
      <c r="A13" s="502" t="s">
        <v>13</v>
      </c>
      <c r="B13" s="502"/>
      <c r="C13" s="502"/>
      <c r="D13" s="513" t="str">
        <f>+St</f>
        <v/>
      </c>
      <c r="E13" s="513"/>
      <c r="F13" s="513"/>
      <c r="H13" s="502" t="s">
        <v>14</v>
      </c>
      <c r="I13" s="502"/>
      <c r="J13" s="502"/>
      <c r="K13" s="513" t="str">
        <f>+Gs</f>
        <v/>
      </c>
      <c r="L13" s="513"/>
      <c r="M13" s="513"/>
      <c r="O13" s="502" t="s">
        <v>15</v>
      </c>
      <c r="P13" s="502"/>
      <c r="Q13" s="502"/>
      <c r="R13" s="513" t="str">
        <f>+Gw</f>
        <v/>
      </c>
      <c r="S13" s="513"/>
      <c r="T13" s="513"/>
      <c r="V13" s="502" t="s">
        <v>16</v>
      </c>
      <c r="W13" s="502"/>
      <c r="X13" s="502"/>
      <c r="Y13" s="513" t="str">
        <f>+Ko</f>
        <v/>
      </c>
      <c r="Z13" s="513"/>
      <c r="AA13" s="513"/>
      <c r="AC13" s="502" t="s">
        <v>17</v>
      </c>
      <c r="AD13" s="502"/>
      <c r="AE13" s="502"/>
      <c r="AF13" s="513" t="str">
        <f>+In</f>
        <v/>
      </c>
      <c r="AG13" s="513"/>
      <c r="AH13" s="513"/>
      <c r="AJ13" s="50"/>
      <c r="AK13" s="50"/>
      <c r="AM13" s="502" t="s">
        <v>18</v>
      </c>
      <c r="AN13" s="502"/>
      <c r="AO13" s="502"/>
      <c r="AP13" s="514" t="str">
        <f>IF(St="","",ROUNDDOWN(St/10,0))</f>
        <v/>
      </c>
      <c r="AQ13" s="514"/>
      <c r="AR13" s="514"/>
      <c r="AT13" s="502" t="s">
        <v>19</v>
      </c>
      <c r="AU13" s="502"/>
      <c r="AV13" s="502"/>
      <c r="AW13" s="513" t="str">
        <f>+LP</f>
        <v/>
      </c>
      <c r="AX13" s="513"/>
      <c r="AY13" s="513"/>
      <c r="BA13" s="502" t="s">
        <v>20</v>
      </c>
      <c r="BB13" s="502"/>
      <c r="BC13" s="502"/>
      <c r="BD13" s="515" t="str">
        <f>IF(Grad=1,0,"")</f>
        <v/>
      </c>
      <c r="BE13" s="515"/>
      <c r="BF13" s="515"/>
    </row>
    <row r="14" spans="1:58" ht="5.0999999999999996" customHeight="1" x14ac:dyDescent="0.2">
      <c r="AJ14" s="51"/>
      <c r="AK14" s="51"/>
    </row>
    <row r="15" spans="1:58" ht="15" customHeight="1" x14ac:dyDescent="0.2">
      <c r="A15" s="502" t="s">
        <v>21</v>
      </c>
      <c r="B15" s="502"/>
      <c r="C15" s="502"/>
      <c r="D15" s="513" t="str">
        <f>+Zt</f>
        <v/>
      </c>
      <c r="E15" s="513"/>
      <c r="F15" s="513"/>
      <c r="H15" s="502" t="s">
        <v>22</v>
      </c>
      <c r="I15" s="502"/>
      <c r="J15" s="502"/>
      <c r="K15" s="513" t="str">
        <f>+Au</f>
        <v/>
      </c>
      <c r="L15" s="513"/>
      <c r="M15" s="513"/>
      <c r="O15" s="502" t="s">
        <v>23</v>
      </c>
      <c r="P15" s="502"/>
      <c r="Q15" s="502"/>
      <c r="R15" s="513" t="str">
        <f>+pA</f>
        <v/>
      </c>
      <c r="S15" s="513"/>
      <c r="T15" s="513"/>
      <c r="V15" s="502" t="s">
        <v>24</v>
      </c>
      <c r="W15" s="502"/>
      <c r="X15" s="502"/>
      <c r="Y15" s="513" t="str">
        <f>+Wk</f>
        <v/>
      </c>
      <c r="Z15" s="513"/>
      <c r="AA15" s="513"/>
      <c r="AC15" s="502" t="s">
        <v>25</v>
      </c>
      <c r="AD15" s="502"/>
      <c r="AE15" s="502"/>
      <c r="AF15" s="513" t="str">
        <f>IF(ISBLANK(Rasse),"",VLOOKUP(Rasse,BErschaffung,2,FALSE))</f>
        <v/>
      </c>
      <c r="AG15" s="513"/>
      <c r="AH15" s="513"/>
      <c r="AJ15" s="51"/>
      <c r="AK15" s="51"/>
      <c r="AM15" s="502" t="s">
        <v>26</v>
      </c>
      <c r="AN15" s="502"/>
      <c r="AO15" s="502"/>
      <c r="AP15" s="514" t="str">
        <f>IF(In="","",ROUNDDOWN(In/10,0))</f>
        <v/>
      </c>
      <c r="AQ15" s="514"/>
      <c r="AR15" s="514"/>
      <c r="AT15" s="502" t="s">
        <v>27</v>
      </c>
      <c r="AU15" s="502"/>
      <c r="AV15" s="502"/>
      <c r="AW15" s="513" t="str">
        <f>+AP</f>
        <v/>
      </c>
      <c r="AX15" s="513"/>
      <c r="AY15" s="513"/>
      <c r="BA15" s="502" t="s">
        <v>28</v>
      </c>
      <c r="BB15" s="502"/>
      <c r="BC15" s="502"/>
      <c r="BD15" s="507" t="str">
        <f>IF(Rasse="","",IF(AND(Grad=1,Rasse="Halbling"),4,0))</f>
        <v/>
      </c>
      <c r="BE15" s="507"/>
      <c r="BF15" s="507"/>
    </row>
    <row r="16" spans="1:58" ht="5.0999999999999996" customHeight="1" x14ac:dyDescent="0.2"/>
    <row r="17" spans="1:59" ht="15" customHeight="1" x14ac:dyDescent="0.2">
      <c r="A17" s="508" t="s">
        <v>29</v>
      </c>
      <c r="B17" s="508"/>
      <c r="C17" s="508"/>
      <c r="D17" s="508"/>
      <c r="E17" s="508"/>
      <c r="F17" s="508"/>
      <c r="G17" s="508"/>
      <c r="H17" s="508"/>
      <c r="I17" s="508"/>
      <c r="J17" s="508"/>
      <c r="K17" s="508"/>
      <c r="L17" s="508"/>
      <c r="M17" s="508"/>
      <c r="N17" s="508"/>
      <c r="O17" s="508"/>
      <c r="P17" s="508"/>
      <c r="Q17" s="508"/>
      <c r="R17" s="508"/>
      <c r="S17" s="508"/>
      <c r="T17" s="508"/>
      <c r="U17" s="508"/>
      <c r="V17" s="508"/>
      <c r="W17" s="508"/>
      <c r="X17" s="508"/>
      <c r="Y17" s="508"/>
      <c r="Z17" s="508"/>
      <c r="AA17" s="508"/>
      <c r="AB17" s="508"/>
      <c r="AC17" s="508"/>
      <c r="AD17" s="508"/>
      <c r="AE17" s="508"/>
      <c r="AF17" s="508"/>
      <c r="AG17" s="508"/>
      <c r="AH17" s="508"/>
      <c r="AI17" s="508"/>
      <c r="AJ17" s="508"/>
      <c r="AK17" s="508"/>
      <c r="AL17" s="508"/>
      <c r="AM17" s="508"/>
      <c r="AN17" s="508"/>
      <c r="AO17" s="508"/>
      <c r="AT17" s="6"/>
      <c r="AU17" s="6"/>
      <c r="AV17" s="6"/>
      <c r="AW17" s="6"/>
      <c r="AX17" s="6"/>
      <c r="AY17" s="6"/>
      <c r="AZ17" s="6"/>
      <c r="BA17" s="6"/>
      <c r="BB17" s="6"/>
      <c r="BC17" s="6"/>
      <c r="BD17" s="6"/>
      <c r="BE17" s="6"/>
      <c r="BF17" s="6"/>
    </row>
    <row r="18" spans="1:59" ht="15" customHeight="1" x14ac:dyDescent="0.2">
      <c r="A18" s="509" t="s">
        <v>30</v>
      </c>
      <c r="B18" s="509"/>
      <c r="C18" s="509"/>
      <c r="D18" s="509"/>
      <c r="E18" s="509"/>
      <c r="G18" s="509" t="s">
        <v>31</v>
      </c>
      <c r="H18" s="509"/>
      <c r="I18" s="509"/>
      <c r="J18" s="509"/>
      <c r="K18" s="509"/>
      <c r="M18" s="509" t="s">
        <v>32</v>
      </c>
      <c r="N18" s="509"/>
      <c r="O18" s="509"/>
      <c r="P18" s="509"/>
      <c r="Q18" s="509"/>
      <c r="S18" s="509" t="s">
        <v>33</v>
      </c>
      <c r="T18" s="509"/>
      <c r="U18" s="509"/>
      <c r="V18" s="509"/>
      <c r="W18" s="509"/>
      <c r="Y18" s="509" t="s">
        <v>34</v>
      </c>
      <c r="Z18" s="509"/>
      <c r="AA18" s="509"/>
      <c r="AB18" s="509"/>
      <c r="AC18" s="509"/>
      <c r="AE18" s="510" t="s">
        <v>892</v>
      </c>
      <c r="AF18" s="511"/>
      <c r="AG18" s="511"/>
      <c r="AH18" s="511"/>
      <c r="AI18" s="512"/>
      <c r="AK18" s="509" t="s">
        <v>36</v>
      </c>
      <c r="AL18" s="509"/>
      <c r="AM18" s="509"/>
      <c r="AN18" s="509"/>
      <c r="AO18" s="509"/>
      <c r="AT18" s="6"/>
      <c r="AU18" s="6"/>
      <c r="AV18" s="6"/>
      <c r="AW18" s="6"/>
      <c r="AX18" s="6"/>
      <c r="AY18" s="6"/>
      <c r="AZ18" s="6"/>
      <c r="BA18" s="6"/>
      <c r="BB18" s="6"/>
      <c r="BC18" s="6"/>
      <c r="BD18" s="6"/>
      <c r="BE18" s="6"/>
      <c r="BF18" s="6"/>
    </row>
    <row r="19" spans="1:59" ht="15" customHeight="1" x14ac:dyDescent="0.2">
      <c r="A19" s="496" t="str">
        <f>IF(OR(St="",Ko=""),"",ROUNDDOWN(Ko/10,0)+ROUNDDOWN(St/20,0))</f>
        <v/>
      </c>
      <c r="B19" s="496"/>
      <c r="C19" s="496"/>
      <c r="D19" s="496"/>
      <c r="E19" s="496"/>
      <c r="G19" s="497" t="str">
        <f>IF(OR(St="",Gs=""),"",ROUNDDOWN(St/20,0)+ROUNDDOWN(Gs/30,0)-3)</f>
        <v/>
      </c>
      <c r="H19" s="498"/>
      <c r="I19" s="498"/>
      <c r="J19" s="498"/>
      <c r="K19" s="499"/>
      <c r="M19" s="497" t="str">
        <f>+GsB</f>
        <v/>
      </c>
      <c r="N19" s="498"/>
      <c r="O19" s="498"/>
      <c r="P19" s="498"/>
      <c r="Q19" s="499"/>
      <c r="S19" s="497" t="str">
        <f>+GwB</f>
        <v/>
      </c>
      <c r="T19" s="498"/>
      <c r="U19" s="498"/>
      <c r="V19" s="498"/>
      <c r="W19" s="499"/>
      <c r="Y19" s="497" t="str">
        <f>+ZtB</f>
        <v/>
      </c>
      <c r="Z19" s="498"/>
      <c r="AA19" s="498"/>
      <c r="AB19" s="498"/>
      <c r="AC19" s="499"/>
      <c r="AE19" s="497" t="str">
        <f>IF(Rasse="Elf",2,IF(OR(Rasse="Berggnom",Rasse="Waldgnom",Rasse="Halbling"),4,IF(Rasse="Zwerg",3,InB)))</f>
        <v/>
      </c>
      <c r="AF19" s="498"/>
      <c r="AG19" s="498"/>
      <c r="AH19" s="498"/>
      <c r="AI19" s="499"/>
      <c r="AK19" s="497" t="str">
        <f>IF(Rasse="Elf",2,IF(OR(Rasse="Berggnom",Rasse="Waldgnom",Rasse="Halbling"),4,IF(Rasse="Zwerg",3,KoB)))</f>
        <v/>
      </c>
      <c r="AL19" s="498"/>
      <c r="AM19" s="498"/>
      <c r="AN19" s="498"/>
      <c r="AO19" s="499"/>
      <c r="AT19" s="6"/>
      <c r="AU19" s="6"/>
      <c r="AV19" s="6"/>
      <c r="AW19" s="6"/>
      <c r="AX19" s="6"/>
      <c r="AY19" s="6"/>
      <c r="AZ19" s="6"/>
      <c r="BA19" s="6"/>
      <c r="BB19" s="6"/>
      <c r="BC19" s="6"/>
      <c r="BD19" s="6"/>
      <c r="BE19" s="6"/>
      <c r="BF19" s="6"/>
    </row>
    <row r="20" spans="1:59" ht="5.0999999999999996" customHeight="1" x14ac:dyDescent="0.2">
      <c r="AT20" s="6"/>
      <c r="AU20" s="6"/>
      <c r="AV20" s="6"/>
      <c r="AW20" s="6"/>
      <c r="AX20" s="6"/>
      <c r="AY20" s="6"/>
      <c r="AZ20" s="6"/>
      <c r="BA20" s="6"/>
      <c r="BB20" s="6"/>
      <c r="BC20" s="6"/>
      <c r="BD20" s="6"/>
      <c r="BE20" s="6"/>
      <c r="BF20" s="6"/>
    </row>
    <row r="21" spans="1:59" s="5" customFormat="1" ht="15" customHeight="1" x14ac:dyDescent="0.2">
      <c r="A21" s="501" t="s">
        <v>34</v>
      </c>
      <c r="B21" s="501"/>
      <c r="C21" s="501"/>
      <c r="D21" s="501"/>
      <c r="E21" s="501"/>
      <c r="F21" s="501"/>
      <c r="G21" s="500" t="str">
        <f>IF(ISBLANK(Typ),"",IF(VLOOKUP(Typ,TypKämZau,5,FALSE)="Kämpfer",3,VLOOKUP(Grad,ZaubFW,3,TRUE)))</f>
        <v/>
      </c>
      <c r="H21" s="500"/>
      <c r="J21" s="502" t="s">
        <v>1182</v>
      </c>
      <c r="K21" s="502"/>
      <c r="L21" s="502"/>
      <c r="M21" s="502"/>
      <c r="N21" s="502"/>
      <c r="O21" s="502"/>
      <c r="P21" s="503" t="str">
        <f>IF(Ko="","",ROUNDDOWN(Ko/2,0)+30)</f>
        <v/>
      </c>
      <c r="Q21" s="503"/>
      <c r="R21" s="503"/>
      <c r="T21" s="502" t="s">
        <v>35</v>
      </c>
      <c r="U21" s="502"/>
      <c r="V21" s="502"/>
      <c r="W21" s="502"/>
      <c r="X21" s="502"/>
      <c r="Y21" s="502"/>
      <c r="Z21" s="496" t="str">
        <f>IF(ISBLANK(Typ),"",IF(VLOOKUP(Typ,TypKämZau,5,FALSE)="Zauberer",VLOOKUP(Grad,AbwResiFW,2,TRUE)+2,VLOOKUP(Grad,AbwResiFW,2,TRUE)))</f>
        <v/>
      </c>
      <c r="AA21" s="496"/>
      <c r="AC21" s="502" t="s">
        <v>36</v>
      </c>
      <c r="AD21" s="502"/>
      <c r="AE21" s="502"/>
      <c r="AF21" s="502"/>
      <c r="AG21" s="502"/>
      <c r="AH21" s="502"/>
      <c r="AI21" s="496" t="str">
        <f>IF(ISBLANK(Typ),"",IF(VLOOKUP(Typ,TypKämZau,5,FALSE)="Zauberer",VLOOKUP(Grad,AbwResiFW,2,TRUE)+2,VLOOKUP(Grad,AbwResiFW,2,TRUE)+1))</f>
        <v/>
      </c>
      <c r="AJ21" s="496"/>
      <c r="AL21" s="501" t="s">
        <v>33</v>
      </c>
      <c r="AM21" s="501"/>
      <c r="AN21" s="501"/>
      <c r="AO21" s="501"/>
      <c r="AP21" s="501"/>
      <c r="AQ21" s="500" t="str">
        <f>IF(ISBLANK(Typ),"",VLOOKUP(Grad,AbwResiFW,2,TRUE))</f>
        <v/>
      </c>
      <c r="AR21" s="500"/>
      <c r="AT21" s="8"/>
      <c r="AU21" s="8"/>
      <c r="AV21" s="8"/>
      <c r="AW21" s="8"/>
      <c r="AX21" s="8"/>
      <c r="AY21" s="8"/>
      <c r="AZ21" s="8"/>
      <c r="BA21" s="8"/>
      <c r="BB21" s="8"/>
      <c r="BC21" s="8"/>
      <c r="BD21" s="8"/>
      <c r="BE21" s="8"/>
      <c r="BF21" s="8"/>
    </row>
    <row r="22" spans="1:59" ht="5.0999999999999996" customHeight="1" x14ac:dyDescent="0.2">
      <c r="BA22" s="6"/>
      <c r="BB22" s="6"/>
      <c r="BC22" s="6"/>
      <c r="BD22" s="6"/>
      <c r="BE22" s="6"/>
      <c r="BF22" s="6"/>
    </row>
    <row r="23" spans="1:59" s="3" customFormat="1" ht="15" customHeight="1" x14ac:dyDescent="0.2">
      <c r="A23" s="462" t="s">
        <v>1097</v>
      </c>
      <c r="B23" s="462"/>
      <c r="C23" s="462"/>
      <c r="D23" s="462"/>
      <c r="E23" s="462"/>
      <c r="F23" s="462"/>
      <c r="G23" s="462"/>
      <c r="H23" s="462"/>
      <c r="I23" s="462"/>
      <c r="J23" s="462"/>
      <c r="K23" s="462"/>
      <c r="L23" s="462"/>
      <c r="M23" s="462"/>
      <c r="N23" s="462"/>
      <c r="O23" s="462"/>
      <c r="P23" s="462"/>
      <c r="Q23" s="462"/>
      <c r="R23" s="462"/>
      <c r="S23" s="462"/>
      <c r="T23" s="462"/>
      <c r="U23" s="462"/>
      <c r="V23" s="462"/>
      <c r="W23" s="462"/>
      <c r="X23" s="462"/>
      <c r="Y23" s="462"/>
      <c r="Z23" s="462"/>
      <c r="AA23" s="462"/>
      <c r="AC23" s="462" t="s">
        <v>1215</v>
      </c>
      <c r="AD23" s="462"/>
      <c r="AE23" s="462"/>
      <c r="AF23" s="462"/>
      <c r="AG23" s="462"/>
      <c r="AH23" s="462"/>
      <c r="AI23" s="462"/>
      <c r="AJ23" s="462"/>
      <c r="AK23" s="462"/>
      <c r="AL23" s="462"/>
      <c r="AM23" s="462"/>
      <c r="AN23" s="462"/>
      <c r="AO23" s="462"/>
      <c r="AP23" s="462"/>
      <c r="AQ23" s="462"/>
      <c r="AR23" s="462"/>
      <c r="AS23" s="462"/>
      <c r="AT23" s="462"/>
      <c r="AU23" s="462"/>
      <c r="AV23" s="462"/>
      <c r="AW23" s="462"/>
      <c r="AX23" s="462"/>
      <c r="AY23" s="462"/>
      <c r="AZ23" s="462"/>
      <c r="BA23" s="462"/>
      <c r="BB23" s="462"/>
      <c r="BC23" s="462"/>
      <c r="BD23" s="462"/>
      <c r="BE23" s="462"/>
      <c r="BF23" s="462"/>
      <c r="BG23" s="52"/>
    </row>
    <row r="24" spans="1:59" s="3" customFormat="1" ht="15" customHeight="1" x14ac:dyDescent="0.2">
      <c r="A24" s="467" t="s">
        <v>1216</v>
      </c>
      <c r="B24" s="467"/>
      <c r="C24" s="467"/>
      <c r="D24" s="467"/>
      <c r="E24" s="467"/>
      <c r="F24" s="467"/>
      <c r="G24" s="52"/>
      <c r="H24" s="467" t="s">
        <v>62</v>
      </c>
      <c r="I24" s="467"/>
      <c r="J24" s="467"/>
      <c r="K24" s="467"/>
      <c r="L24" s="467"/>
      <c r="M24" s="467"/>
      <c r="N24" s="52"/>
      <c r="O24" s="467" t="s">
        <v>1218</v>
      </c>
      <c r="P24" s="467"/>
      <c r="Q24" s="467"/>
      <c r="R24" s="467"/>
      <c r="S24" s="467"/>
      <c r="T24" s="467"/>
      <c r="U24" s="52"/>
      <c r="V24" s="467" t="s">
        <v>1217</v>
      </c>
      <c r="W24" s="467"/>
      <c r="X24" s="467"/>
      <c r="Y24" s="467"/>
      <c r="Z24" s="467"/>
      <c r="AA24" s="467"/>
      <c r="AC24" s="464"/>
      <c r="AD24" s="465"/>
      <c r="AE24" s="465"/>
      <c r="AF24" s="465"/>
      <c r="AG24" s="465"/>
      <c r="AH24" s="466"/>
      <c r="AI24" s="52"/>
      <c r="AJ24" s="440" t="s">
        <v>1213</v>
      </c>
      <c r="AK24" s="440"/>
      <c r="AL24" s="440"/>
      <c r="AM24" s="440"/>
      <c r="AN24" s="52"/>
      <c r="AO24" s="440" t="s">
        <v>1220</v>
      </c>
      <c r="AP24" s="440"/>
      <c r="AQ24" s="440"/>
      <c r="AR24" s="440"/>
      <c r="AS24" s="440"/>
      <c r="AT24" s="440"/>
      <c r="AU24" s="52"/>
      <c r="AV24" s="440" t="s">
        <v>1221</v>
      </c>
      <c r="AW24" s="440"/>
      <c r="AX24" s="440"/>
      <c r="AY24" s="440"/>
      <c r="AZ24" s="440"/>
      <c r="BA24" s="440"/>
      <c r="BB24" s="52"/>
      <c r="BC24" s="440" t="s">
        <v>1214</v>
      </c>
      <c r="BD24" s="440"/>
      <c r="BE24" s="440"/>
      <c r="BF24" s="440"/>
      <c r="BG24" s="52"/>
    </row>
    <row r="25" spans="1:59" s="3" customFormat="1" ht="15" customHeight="1" x14ac:dyDescent="0.2">
      <c r="A25" s="470" t="str">
        <f>IF(Rasse="Zwerg",IF($E$29="","",ROUNDUP(MAX($E$29:$H$62,$V$29:$Y$62)/2,0)),"")</f>
        <v/>
      </c>
      <c r="B25" s="470"/>
      <c r="C25" s="470"/>
      <c r="D25" s="470"/>
      <c r="E25" s="470"/>
      <c r="F25" s="470"/>
      <c r="G25" s="52"/>
      <c r="H25" s="468"/>
      <c r="I25" s="468"/>
      <c r="J25" s="468"/>
      <c r="K25" s="468"/>
      <c r="L25" s="468"/>
      <c r="M25" s="468"/>
      <c r="N25" s="52"/>
      <c r="O25" s="468"/>
      <c r="P25" s="468"/>
      <c r="Q25" s="468"/>
      <c r="R25" s="468"/>
      <c r="S25" s="468"/>
      <c r="T25" s="468"/>
      <c r="U25" s="52"/>
      <c r="V25" s="469" t="str">
        <f>IF(OR($H$25&gt;0,$O$25&gt;0),$H$25+$O$25,"")</f>
        <v/>
      </c>
      <c r="W25" s="469"/>
      <c r="X25" s="469"/>
      <c r="Y25" s="469"/>
      <c r="Z25" s="469"/>
      <c r="AA25" s="469"/>
      <c r="AC25" s="471" t="str">
        <f>IF(ISBLANK($AC$24),"",IF(OR($AC$24="Heiliger Zorn",$AC$24="Bärenwut"),30,IF($AC$24="Stärke",20,0)))</f>
        <v/>
      </c>
      <c r="AD25" s="471"/>
      <c r="AE25" s="471"/>
      <c r="AF25" s="471"/>
      <c r="AG25" s="471"/>
      <c r="AH25" s="471"/>
      <c r="AI25" s="52"/>
      <c r="AJ25" s="472" t="str">
        <f>IF(ISBLANK($AC$24),"",St+$AC$25)</f>
        <v/>
      </c>
      <c r="AK25" s="472"/>
      <c r="AL25" s="472"/>
      <c r="AM25" s="472"/>
      <c r="AN25" s="52"/>
      <c r="AO25" s="442" t="str">
        <f>IF(ISBLANK($AC$24),"",$AR$25-SchB)</f>
        <v/>
      </c>
      <c r="AP25" s="443"/>
      <c r="AQ25" s="56" t="str">
        <f>IF(ISBLANK($AC$24),"","=")</f>
        <v/>
      </c>
      <c r="AR25" s="443" t="str">
        <f>IF(ISBLANK($AC$24),"",ROUNDDOWN($AJ$25/20,0)+ROUNDDOWN(Gs/30,0)-3)</f>
        <v/>
      </c>
      <c r="AS25" s="443"/>
      <c r="AT25" s="463"/>
      <c r="AU25" s="52"/>
      <c r="AV25" s="442" t="str">
        <f>IF(ISBLANK($AC$24),"",$AY$25-APB)</f>
        <v/>
      </c>
      <c r="AW25" s="443"/>
      <c r="AX25" s="56" t="str">
        <f>IF(ISBLANK(AC24),"","=")</f>
        <v/>
      </c>
      <c r="AY25" s="443" t="str">
        <f>IF(ISBLANK($AC$24),"",ROUNDDOWN(Ko/10,0)+ROUNDDOWN($AJ$25/20,0))</f>
        <v/>
      </c>
      <c r="AZ25" s="443"/>
      <c r="BA25" s="463"/>
      <c r="BB25" s="52"/>
      <c r="BC25" s="441" t="str">
        <f>IF(ISBLANK($AC$24),"",ROUNDDOWN($AJ$25/10,0))</f>
        <v/>
      </c>
      <c r="BD25" s="441"/>
      <c r="BE25" s="441"/>
      <c r="BF25" s="441"/>
      <c r="BG25" s="52"/>
    </row>
    <row r="26" spans="1:59" ht="4.5" customHeight="1" thickBot="1" x14ac:dyDescent="0.25">
      <c r="BF26" s="49"/>
    </row>
    <row r="27" spans="1:59" s="2" customFormat="1" ht="15" customHeight="1" thickBot="1" x14ac:dyDescent="0.25">
      <c r="A27" s="490" t="s">
        <v>1276</v>
      </c>
      <c r="B27" s="491"/>
      <c r="C27" s="491"/>
      <c r="D27" s="491"/>
      <c r="E27" s="491"/>
      <c r="F27" s="491"/>
      <c r="G27" s="491"/>
      <c r="H27" s="491"/>
      <c r="I27" s="491"/>
      <c r="J27" s="491"/>
      <c r="K27" s="491"/>
      <c r="L27" s="491"/>
      <c r="M27" s="491"/>
      <c r="N27" s="491"/>
      <c r="O27" s="491"/>
      <c r="P27" s="491"/>
      <c r="Q27" s="491"/>
      <c r="R27" s="491"/>
      <c r="S27" s="491"/>
      <c r="T27" s="491"/>
      <c r="U27" s="491"/>
      <c r="V27" s="491"/>
      <c r="W27" s="491"/>
      <c r="X27" s="491"/>
      <c r="Y27" s="491"/>
      <c r="Z27" s="492"/>
      <c r="AA27" s="1"/>
      <c r="AB27" s="1"/>
      <c r="AC27" s="493" t="s">
        <v>61</v>
      </c>
      <c r="AD27" s="494"/>
      <c r="AE27" s="494"/>
      <c r="AF27" s="494"/>
      <c r="AG27" s="494"/>
      <c r="AH27" s="494"/>
      <c r="AI27" s="494"/>
      <c r="AJ27" s="494"/>
      <c r="AK27" s="494"/>
      <c r="AL27" s="494"/>
      <c r="AM27" s="494"/>
      <c r="AN27" s="494"/>
      <c r="AO27" s="494"/>
      <c r="AP27" s="494"/>
      <c r="AQ27" s="494"/>
      <c r="AR27" s="494"/>
      <c r="AS27" s="494"/>
      <c r="AT27" s="494"/>
      <c r="AU27" s="494"/>
      <c r="AV27" s="494"/>
      <c r="AW27" s="494"/>
      <c r="AX27" s="494"/>
      <c r="AY27" s="494"/>
      <c r="AZ27" s="494"/>
      <c r="BA27" s="494"/>
      <c r="BB27" s="494"/>
      <c r="BC27" s="494"/>
      <c r="BD27" s="494"/>
      <c r="BE27" s="494"/>
      <c r="BF27" s="495"/>
    </row>
    <row r="28" spans="1:59" ht="15" customHeight="1" thickBot="1" x14ac:dyDescent="0.25">
      <c r="A28" s="486" t="s">
        <v>58</v>
      </c>
      <c r="B28" s="486"/>
      <c r="C28" s="486"/>
      <c r="D28" s="486"/>
      <c r="E28" s="487" t="s">
        <v>59</v>
      </c>
      <c r="F28" s="487"/>
      <c r="G28" s="487"/>
      <c r="H28" s="487"/>
      <c r="I28" s="488" t="s">
        <v>60</v>
      </c>
      <c r="J28" s="488"/>
      <c r="K28" s="488"/>
      <c r="L28" s="488"/>
      <c r="O28" s="486" t="s">
        <v>58</v>
      </c>
      <c r="P28" s="486"/>
      <c r="Q28" s="486"/>
      <c r="R28" s="486"/>
      <c r="S28" s="487" t="s">
        <v>59</v>
      </c>
      <c r="T28" s="487"/>
      <c r="U28" s="487"/>
      <c r="V28" s="487"/>
      <c r="W28" s="488" t="s">
        <v>60</v>
      </c>
      <c r="X28" s="488"/>
      <c r="Y28" s="488"/>
      <c r="Z28" s="488"/>
      <c r="AC28" s="481" t="s">
        <v>62</v>
      </c>
      <c r="AD28" s="482"/>
      <c r="AE28" s="482"/>
      <c r="AF28" s="482"/>
      <c r="AG28" s="483" t="s">
        <v>63</v>
      </c>
      <c r="AH28" s="483"/>
      <c r="AI28" s="483"/>
      <c r="AJ28" s="483"/>
      <c r="AK28" s="483" t="s">
        <v>64</v>
      </c>
      <c r="AL28" s="483"/>
      <c r="AM28" s="483"/>
      <c r="AN28" s="483"/>
      <c r="AO28" s="504" t="s">
        <v>1114</v>
      </c>
      <c r="AP28" s="505"/>
      <c r="AQ28" s="505"/>
      <c r="AR28" s="505"/>
      <c r="AS28" s="505"/>
      <c r="AT28" s="505"/>
      <c r="AU28" s="505"/>
      <c r="AV28" s="505"/>
      <c r="AW28" s="505"/>
      <c r="AX28" s="505"/>
      <c r="AY28" s="505"/>
      <c r="AZ28" s="505"/>
      <c r="BA28" s="505"/>
      <c r="BB28" s="505"/>
      <c r="BC28" s="505"/>
      <c r="BD28" s="505"/>
      <c r="BE28" s="505"/>
      <c r="BF28" s="506"/>
    </row>
    <row r="29" spans="1:59" ht="15" customHeight="1" x14ac:dyDescent="0.2">
      <c r="A29" s="484"/>
      <c r="B29" s="484"/>
      <c r="C29" s="484"/>
      <c r="D29" s="484"/>
      <c r="E29" s="438"/>
      <c r="F29" s="438"/>
      <c r="G29" s="438"/>
      <c r="H29" s="438"/>
      <c r="I29" s="485"/>
      <c r="J29" s="485"/>
      <c r="K29" s="485"/>
      <c r="L29" s="485"/>
      <c r="O29" s="484"/>
      <c r="P29" s="484"/>
      <c r="Q29" s="484"/>
      <c r="R29" s="484"/>
      <c r="S29" s="438"/>
      <c r="T29" s="438"/>
      <c r="U29" s="438"/>
      <c r="V29" s="438"/>
      <c r="W29" s="485"/>
      <c r="X29" s="485"/>
      <c r="Y29" s="485"/>
      <c r="Z29" s="485"/>
      <c r="AC29" s="489"/>
      <c r="AD29" s="457"/>
      <c r="AE29" s="457"/>
      <c r="AF29" s="458"/>
      <c r="AG29" s="456"/>
      <c r="AH29" s="457"/>
      <c r="AI29" s="457"/>
      <c r="AJ29" s="458"/>
      <c r="AK29" s="456"/>
      <c r="AL29" s="457"/>
      <c r="AM29" s="457"/>
      <c r="AN29" s="458"/>
      <c r="AO29" s="459"/>
      <c r="AP29" s="460"/>
      <c r="AQ29" s="460"/>
      <c r="AR29" s="460"/>
      <c r="AS29" s="460"/>
      <c r="AT29" s="460"/>
      <c r="AU29" s="460"/>
      <c r="AV29" s="460"/>
      <c r="AW29" s="460"/>
      <c r="AX29" s="460"/>
      <c r="AY29" s="460"/>
      <c r="AZ29" s="460"/>
      <c r="BA29" s="460"/>
      <c r="BB29" s="460"/>
      <c r="BC29" s="460"/>
      <c r="BD29" s="460"/>
      <c r="BE29" s="460"/>
      <c r="BF29" s="461"/>
    </row>
    <row r="30" spans="1:59" ht="15" customHeight="1" x14ac:dyDescent="0.2">
      <c r="A30" s="434"/>
      <c r="B30" s="434"/>
      <c r="C30" s="434"/>
      <c r="D30" s="434"/>
      <c r="E30" s="435"/>
      <c r="F30" s="435"/>
      <c r="G30" s="435"/>
      <c r="H30" s="435"/>
      <c r="I30" s="436"/>
      <c r="J30" s="436"/>
      <c r="K30" s="436"/>
      <c r="L30" s="436"/>
      <c r="O30" s="434"/>
      <c r="P30" s="434"/>
      <c r="Q30" s="434"/>
      <c r="R30" s="434"/>
      <c r="S30" s="435"/>
      <c r="T30" s="435"/>
      <c r="U30" s="435"/>
      <c r="V30" s="435"/>
      <c r="W30" s="436"/>
      <c r="X30" s="436"/>
      <c r="Y30" s="436"/>
      <c r="Z30" s="436"/>
      <c r="AC30" s="475"/>
      <c r="AD30" s="445"/>
      <c r="AE30" s="445"/>
      <c r="AF30" s="446"/>
      <c r="AG30" s="444"/>
      <c r="AH30" s="445"/>
      <c r="AI30" s="445"/>
      <c r="AJ30" s="446"/>
      <c r="AK30" s="444"/>
      <c r="AL30" s="445"/>
      <c r="AM30" s="445"/>
      <c r="AN30" s="446"/>
      <c r="AO30" s="447"/>
      <c r="AP30" s="448"/>
      <c r="AQ30" s="448"/>
      <c r="AR30" s="448"/>
      <c r="AS30" s="448"/>
      <c r="AT30" s="448"/>
      <c r="AU30" s="448"/>
      <c r="AV30" s="448"/>
      <c r="AW30" s="448"/>
      <c r="AX30" s="448"/>
      <c r="AY30" s="448"/>
      <c r="AZ30" s="448"/>
      <c r="BA30" s="448"/>
      <c r="BB30" s="448"/>
      <c r="BC30" s="448"/>
      <c r="BD30" s="448"/>
      <c r="BE30" s="448"/>
      <c r="BF30" s="449"/>
    </row>
    <row r="31" spans="1:59" ht="15" customHeight="1" x14ac:dyDescent="0.2">
      <c r="A31" s="437"/>
      <c r="B31" s="437"/>
      <c r="C31" s="437"/>
      <c r="D31" s="437"/>
      <c r="E31" s="438"/>
      <c r="F31" s="438"/>
      <c r="G31" s="438"/>
      <c r="H31" s="438"/>
      <c r="I31" s="439"/>
      <c r="J31" s="439"/>
      <c r="K31" s="439"/>
      <c r="L31" s="439"/>
      <c r="O31" s="437"/>
      <c r="P31" s="437"/>
      <c r="Q31" s="437"/>
      <c r="R31" s="437"/>
      <c r="S31" s="438"/>
      <c r="T31" s="438"/>
      <c r="U31" s="438"/>
      <c r="V31" s="438"/>
      <c r="W31" s="439"/>
      <c r="X31" s="439"/>
      <c r="Y31" s="439"/>
      <c r="Z31" s="439"/>
      <c r="AC31" s="480"/>
      <c r="AD31" s="451"/>
      <c r="AE31" s="451"/>
      <c r="AF31" s="452"/>
      <c r="AG31" s="450"/>
      <c r="AH31" s="451"/>
      <c r="AI31" s="451"/>
      <c r="AJ31" s="452"/>
      <c r="AK31" s="450"/>
      <c r="AL31" s="451"/>
      <c r="AM31" s="451"/>
      <c r="AN31" s="452"/>
      <c r="AO31" s="453"/>
      <c r="AP31" s="454"/>
      <c r="AQ31" s="454"/>
      <c r="AR31" s="454"/>
      <c r="AS31" s="454"/>
      <c r="AT31" s="454"/>
      <c r="AU31" s="454"/>
      <c r="AV31" s="454"/>
      <c r="AW31" s="454"/>
      <c r="AX31" s="454"/>
      <c r="AY31" s="454"/>
      <c r="AZ31" s="454"/>
      <c r="BA31" s="454"/>
      <c r="BB31" s="454"/>
      <c r="BC31" s="454"/>
      <c r="BD31" s="454"/>
      <c r="BE31" s="454"/>
      <c r="BF31" s="455"/>
    </row>
    <row r="32" spans="1:59" ht="15" customHeight="1" x14ac:dyDescent="0.2">
      <c r="A32" s="434"/>
      <c r="B32" s="434"/>
      <c r="C32" s="434"/>
      <c r="D32" s="434"/>
      <c r="E32" s="435"/>
      <c r="F32" s="435"/>
      <c r="G32" s="435"/>
      <c r="H32" s="435"/>
      <c r="I32" s="436"/>
      <c r="J32" s="436"/>
      <c r="K32" s="436"/>
      <c r="L32" s="436"/>
      <c r="O32" s="434"/>
      <c r="P32" s="434"/>
      <c r="Q32" s="434"/>
      <c r="R32" s="434"/>
      <c r="S32" s="435"/>
      <c r="T32" s="435"/>
      <c r="U32" s="435"/>
      <c r="V32" s="435"/>
      <c r="W32" s="436"/>
      <c r="X32" s="436"/>
      <c r="Y32" s="436"/>
      <c r="Z32" s="436"/>
      <c r="AC32" s="475"/>
      <c r="AD32" s="445"/>
      <c r="AE32" s="445"/>
      <c r="AF32" s="446"/>
      <c r="AG32" s="444"/>
      <c r="AH32" s="445"/>
      <c r="AI32" s="445"/>
      <c r="AJ32" s="446"/>
      <c r="AK32" s="444"/>
      <c r="AL32" s="445"/>
      <c r="AM32" s="445"/>
      <c r="AN32" s="446"/>
      <c r="AO32" s="447"/>
      <c r="AP32" s="448"/>
      <c r="AQ32" s="448"/>
      <c r="AR32" s="448"/>
      <c r="AS32" s="448"/>
      <c r="AT32" s="448"/>
      <c r="AU32" s="448"/>
      <c r="AV32" s="448"/>
      <c r="AW32" s="448"/>
      <c r="AX32" s="448"/>
      <c r="AY32" s="448"/>
      <c r="AZ32" s="448"/>
      <c r="BA32" s="448"/>
      <c r="BB32" s="448"/>
      <c r="BC32" s="448"/>
      <c r="BD32" s="448"/>
      <c r="BE32" s="448"/>
      <c r="BF32" s="449"/>
    </row>
    <row r="33" spans="1:58" ht="15" customHeight="1" x14ac:dyDescent="0.2">
      <c r="A33" s="437"/>
      <c r="B33" s="437"/>
      <c r="C33" s="437"/>
      <c r="D33" s="437"/>
      <c r="E33" s="438"/>
      <c r="F33" s="438"/>
      <c r="G33" s="438"/>
      <c r="H33" s="438"/>
      <c r="I33" s="439"/>
      <c r="J33" s="439"/>
      <c r="K33" s="439"/>
      <c r="L33" s="439"/>
      <c r="O33" s="437"/>
      <c r="P33" s="437"/>
      <c r="Q33" s="437"/>
      <c r="R33" s="437"/>
      <c r="S33" s="438"/>
      <c r="T33" s="438"/>
      <c r="U33" s="438"/>
      <c r="V33" s="438"/>
      <c r="W33" s="439"/>
      <c r="X33" s="439"/>
      <c r="Y33" s="439"/>
      <c r="Z33" s="439"/>
      <c r="AC33" s="480"/>
      <c r="AD33" s="451"/>
      <c r="AE33" s="451"/>
      <c r="AF33" s="452"/>
      <c r="AG33" s="450"/>
      <c r="AH33" s="451"/>
      <c r="AI33" s="451"/>
      <c r="AJ33" s="452"/>
      <c r="AK33" s="450"/>
      <c r="AL33" s="451"/>
      <c r="AM33" s="451"/>
      <c r="AN33" s="452"/>
      <c r="AO33" s="453"/>
      <c r="AP33" s="454"/>
      <c r="AQ33" s="454"/>
      <c r="AR33" s="454"/>
      <c r="AS33" s="454"/>
      <c r="AT33" s="454"/>
      <c r="AU33" s="454"/>
      <c r="AV33" s="454"/>
      <c r="AW33" s="454"/>
      <c r="AX33" s="454"/>
      <c r="AY33" s="454"/>
      <c r="AZ33" s="454"/>
      <c r="BA33" s="454"/>
      <c r="BB33" s="454"/>
      <c r="BC33" s="454"/>
      <c r="BD33" s="454"/>
      <c r="BE33" s="454"/>
      <c r="BF33" s="455"/>
    </row>
    <row r="34" spans="1:58" ht="15" customHeight="1" x14ac:dyDescent="0.2">
      <c r="A34" s="434"/>
      <c r="B34" s="434"/>
      <c r="C34" s="434"/>
      <c r="D34" s="434"/>
      <c r="E34" s="435"/>
      <c r="F34" s="435"/>
      <c r="G34" s="435"/>
      <c r="H34" s="435"/>
      <c r="I34" s="436"/>
      <c r="J34" s="436"/>
      <c r="K34" s="436"/>
      <c r="L34" s="436"/>
      <c r="O34" s="434"/>
      <c r="P34" s="434"/>
      <c r="Q34" s="434"/>
      <c r="R34" s="434"/>
      <c r="S34" s="435"/>
      <c r="T34" s="435"/>
      <c r="U34" s="435"/>
      <c r="V34" s="435"/>
      <c r="W34" s="436"/>
      <c r="X34" s="436"/>
      <c r="Y34" s="436"/>
      <c r="Z34" s="436"/>
      <c r="AC34" s="475"/>
      <c r="AD34" s="445"/>
      <c r="AE34" s="445"/>
      <c r="AF34" s="446"/>
      <c r="AG34" s="444"/>
      <c r="AH34" s="445"/>
      <c r="AI34" s="445"/>
      <c r="AJ34" s="446"/>
      <c r="AK34" s="444"/>
      <c r="AL34" s="445"/>
      <c r="AM34" s="445"/>
      <c r="AN34" s="446"/>
      <c r="AO34" s="447"/>
      <c r="AP34" s="448"/>
      <c r="AQ34" s="448"/>
      <c r="AR34" s="448"/>
      <c r="AS34" s="448"/>
      <c r="AT34" s="448"/>
      <c r="AU34" s="448"/>
      <c r="AV34" s="448"/>
      <c r="AW34" s="448"/>
      <c r="AX34" s="448"/>
      <c r="AY34" s="448"/>
      <c r="AZ34" s="448"/>
      <c r="BA34" s="448"/>
      <c r="BB34" s="448"/>
      <c r="BC34" s="448"/>
      <c r="BD34" s="448"/>
      <c r="BE34" s="448"/>
      <c r="BF34" s="449"/>
    </row>
    <row r="35" spans="1:58" ht="15" customHeight="1" x14ac:dyDescent="0.2">
      <c r="A35" s="437"/>
      <c r="B35" s="437"/>
      <c r="C35" s="437"/>
      <c r="D35" s="437"/>
      <c r="E35" s="438"/>
      <c r="F35" s="438"/>
      <c r="G35" s="438"/>
      <c r="H35" s="438"/>
      <c r="I35" s="439"/>
      <c r="J35" s="439"/>
      <c r="K35" s="439"/>
      <c r="L35" s="439"/>
      <c r="O35" s="437"/>
      <c r="P35" s="437"/>
      <c r="Q35" s="437"/>
      <c r="R35" s="437"/>
      <c r="S35" s="438"/>
      <c r="T35" s="438"/>
      <c r="U35" s="438"/>
      <c r="V35" s="438"/>
      <c r="W35" s="439"/>
      <c r="X35" s="439"/>
      <c r="Y35" s="439"/>
      <c r="Z35" s="439"/>
      <c r="AC35" s="480"/>
      <c r="AD35" s="451"/>
      <c r="AE35" s="451"/>
      <c r="AF35" s="452"/>
      <c r="AG35" s="450"/>
      <c r="AH35" s="451"/>
      <c r="AI35" s="451"/>
      <c r="AJ35" s="452"/>
      <c r="AK35" s="450"/>
      <c r="AL35" s="451"/>
      <c r="AM35" s="451"/>
      <c r="AN35" s="452"/>
      <c r="AO35" s="453"/>
      <c r="AP35" s="454"/>
      <c r="AQ35" s="454"/>
      <c r="AR35" s="454"/>
      <c r="AS35" s="454"/>
      <c r="AT35" s="454"/>
      <c r="AU35" s="454"/>
      <c r="AV35" s="454"/>
      <c r="AW35" s="454"/>
      <c r="AX35" s="454"/>
      <c r="AY35" s="454"/>
      <c r="AZ35" s="454"/>
      <c r="BA35" s="454"/>
      <c r="BB35" s="454"/>
      <c r="BC35" s="454"/>
      <c r="BD35" s="454"/>
      <c r="BE35" s="454"/>
      <c r="BF35" s="455"/>
    </row>
    <row r="36" spans="1:58" ht="15" customHeight="1" x14ac:dyDescent="0.2">
      <c r="A36" s="434"/>
      <c r="B36" s="434"/>
      <c r="C36" s="434"/>
      <c r="D36" s="434"/>
      <c r="E36" s="435"/>
      <c r="F36" s="435"/>
      <c r="G36" s="435"/>
      <c r="H36" s="435"/>
      <c r="I36" s="436"/>
      <c r="J36" s="436"/>
      <c r="K36" s="436"/>
      <c r="L36" s="436"/>
      <c r="O36" s="434"/>
      <c r="P36" s="434"/>
      <c r="Q36" s="434"/>
      <c r="R36" s="434"/>
      <c r="S36" s="435"/>
      <c r="T36" s="435"/>
      <c r="U36" s="435"/>
      <c r="V36" s="435"/>
      <c r="W36" s="436"/>
      <c r="X36" s="436"/>
      <c r="Y36" s="436"/>
      <c r="Z36" s="436"/>
      <c r="AC36" s="475"/>
      <c r="AD36" s="445"/>
      <c r="AE36" s="445"/>
      <c r="AF36" s="446"/>
      <c r="AG36" s="444"/>
      <c r="AH36" s="445"/>
      <c r="AI36" s="445"/>
      <c r="AJ36" s="446"/>
      <c r="AK36" s="444"/>
      <c r="AL36" s="445"/>
      <c r="AM36" s="445"/>
      <c r="AN36" s="446"/>
      <c r="AO36" s="447"/>
      <c r="AP36" s="448"/>
      <c r="AQ36" s="448"/>
      <c r="AR36" s="448"/>
      <c r="AS36" s="448"/>
      <c r="AT36" s="448"/>
      <c r="AU36" s="448"/>
      <c r="AV36" s="448"/>
      <c r="AW36" s="448"/>
      <c r="AX36" s="448"/>
      <c r="AY36" s="448"/>
      <c r="AZ36" s="448"/>
      <c r="BA36" s="448"/>
      <c r="BB36" s="448"/>
      <c r="BC36" s="448"/>
      <c r="BD36" s="448"/>
      <c r="BE36" s="448"/>
      <c r="BF36" s="449"/>
    </row>
    <row r="37" spans="1:58" ht="15" customHeight="1" x14ac:dyDescent="0.2">
      <c r="A37" s="437"/>
      <c r="B37" s="437"/>
      <c r="C37" s="437"/>
      <c r="D37" s="437"/>
      <c r="E37" s="438"/>
      <c r="F37" s="438"/>
      <c r="G37" s="438"/>
      <c r="H37" s="438"/>
      <c r="I37" s="439"/>
      <c r="J37" s="439"/>
      <c r="K37" s="439"/>
      <c r="L37" s="439"/>
      <c r="O37" s="437"/>
      <c r="P37" s="437"/>
      <c r="Q37" s="437"/>
      <c r="R37" s="437"/>
      <c r="S37" s="438"/>
      <c r="T37" s="438"/>
      <c r="U37" s="438"/>
      <c r="V37" s="438"/>
      <c r="W37" s="439"/>
      <c r="X37" s="439"/>
      <c r="Y37" s="439"/>
      <c r="Z37" s="439"/>
      <c r="AC37" s="480"/>
      <c r="AD37" s="451"/>
      <c r="AE37" s="451"/>
      <c r="AF37" s="452"/>
      <c r="AG37" s="450"/>
      <c r="AH37" s="451"/>
      <c r="AI37" s="451"/>
      <c r="AJ37" s="452"/>
      <c r="AK37" s="450"/>
      <c r="AL37" s="451"/>
      <c r="AM37" s="451"/>
      <c r="AN37" s="452"/>
      <c r="AO37" s="453"/>
      <c r="AP37" s="454"/>
      <c r="AQ37" s="454"/>
      <c r="AR37" s="454"/>
      <c r="AS37" s="454"/>
      <c r="AT37" s="454"/>
      <c r="AU37" s="454"/>
      <c r="AV37" s="454"/>
      <c r="AW37" s="454"/>
      <c r="AX37" s="454"/>
      <c r="AY37" s="454"/>
      <c r="AZ37" s="454"/>
      <c r="BA37" s="454"/>
      <c r="BB37" s="454"/>
      <c r="BC37" s="454"/>
      <c r="BD37" s="454"/>
      <c r="BE37" s="454"/>
      <c r="BF37" s="455"/>
    </row>
    <row r="38" spans="1:58" ht="15" customHeight="1" x14ac:dyDescent="0.2">
      <c r="A38" s="434"/>
      <c r="B38" s="434"/>
      <c r="C38" s="434"/>
      <c r="D38" s="434"/>
      <c r="E38" s="435"/>
      <c r="F38" s="435"/>
      <c r="G38" s="435"/>
      <c r="H38" s="435"/>
      <c r="I38" s="436"/>
      <c r="J38" s="436"/>
      <c r="K38" s="436"/>
      <c r="L38" s="436"/>
      <c r="O38" s="434"/>
      <c r="P38" s="434"/>
      <c r="Q38" s="434"/>
      <c r="R38" s="434"/>
      <c r="S38" s="435"/>
      <c r="T38" s="435"/>
      <c r="U38" s="435"/>
      <c r="V38" s="435"/>
      <c r="W38" s="436"/>
      <c r="X38" s="436"/>
      <c r="Y38" s="436"/>
      <c r="Z38" s="436"/>
      <c r="AC38" s="475"/>
      <c r="AD38" s="445"/>
      <c r="AE38" s="445"/>
      <c r="AF38" s="446"/>
      <c r="AG38" s="444"/>
      <c r="AH38" s="445"/>
      <c r="AI38" s="445"/>
      <c r="AJ38" s="446"/>
      <c r="AK38" s="444"/>
      <c r="AL38" s="445"/>
      <c r="AM38" s="445"/>
      <c r="AN38" s="446"/>
      <c r="AO38" s="447"/>
      <c r="AP38" s="448"/>
      <c r="AQ38" s="448"/>
      <c r="AR38" s="448"/>
      <c r="AS38" s="448"/>
      <c r="AT38" s="448"/>
      <c r="AU38" s="448"/>
      <c r="AV38" s="448"/>
      <c r="AW38" s="448"/>
      <c r="AX38" s="448"/>
      <c r="AY38" s="448"/>
      <c r="AZ38" s="448"/>
      <c r="BA38" s="448"/>
      <c r="BB38" s="448"/>
      <c r="BC38" s="448"/>
      <c r="BD38" s="448"/>
      <c r="BE38" s="448"/>
      <c r="BF38" s="449"/>
    </row>
    <row r="39" spans="1:58" ht="15" customHeight="1" x14ac:dyDescent="0.2">
      <c r="A39" s="437"/>
      <c r="B39" s="437"/>
      <c r="C39" s="437"/>
      <c r="D39" s="437"/>
      <c r="E39" s="438"/>
      <c r="F39" s="438"/>
      <c r="G39" s="438"/>
      <c r="H39" s="438"/>
      <c r="I39" s="439"/>
      <c r="J39" s="439"/>
      <c r="K39" s="439"/>
      <c r="L39" s="439"/>
      <c r="O39" s="437"/>
      <c r="P39" s="437"/>
      <c r="Q39" s="437"/>
      <c r="R39" s="437"/>
      <c r="S39" s="438"/>
      <c r="T39" s="438"/>
      <c r="U39" s="438"/>
      <c r="V39" s="438"/>
      <c r="W39" s="439"/>
      <c r="X39" s="439"/>
      <c r="Y39" s="439"/>
      <c r="Z39" s="439"/>
      <c r="AC39" s="480"/>
      <c r="AD39" s="451"/>
      <c r="AE39" s="451"/>
      <c r="AF39" s="452"/>
      <c r="AG39" s="450"/>
      <c r="AH39" s="451"/>
      <c r="AI39" s="451"/>
      <c r="AJ39" s="452"/>
      <c r="AK39" s="450"/>
      <c r="AL39" s="451"/>
      <c r="AM39" s="451"/>
      <c r="AN39" s="452"/>
      <c r="AO39" s="453"/>
      <c r="AP39" s="454"/>
      <c r="AQ39" s="454"/>
      <c r="AR39" s="454"/>
      <c r="AS39" s="454"/>
      <c r="AT39" s="454"/>
      <c r="AU39" s="454"/>
      <c r="AV39" s="454"/>
      <c r="AW39" s="454"/>
      <c r="AX39" s="454"/>
      <c r="AY39" s="454"/>
      <c r="AZ39" s="454"/>
      <c r="BA39" s="454"/>
      <c r="BB39" s="454"/>
      <c r="BC39" s="454"/>
      <c r="BD39" s="454"/>
      <c r="BE39" s="454"/>
      <c r="BF39" s="455"/>
    </row>
    <row r="40" spans="1:58" ht="15" customHeight="1" x14ac:dyDescent="0.2">
      <c r="A40" s="434"/>
      <c r="B40" s="434"/>
      <c r="C40" s="434"/>
      <c r="D40" s="434"/>
      <c r="E40" s="435"/>
      <c r="F40" s="435"/>
      <c r="G40" s="435"/>
      <c r="H40" s="435"/>
      <c r="I40" s="436"/>
      <c r="J40" s="436"/>
      <c r="K40" s="436"/>
      <c r="L40" s="436"/>
      <c r="O40" s="434"/>
      <c r="P40" s="434"/>
      <c r="Q40" s="434"/>
      <c r="R40" s="434"/>
      <c r="S40" s="435"/>
      <c r="T40" s="435"/>
      <c r="U40" s="435"/>
      <c r="V40" s="435"/>
      <c r="W40" s="436"/>
      <c r="X40" s="436"/>
      <c r="Y40" s="436"/>
      <c r="Z40" s="436"/>
      <c r="AC40" s="475"/>
      <c r="AD40" s="445"/>
      <c r="AE40" s="445"/>
      <c r="AF40" s="446"/>
      <c r="AG40" s="444"/>
      <c r="AH40" s="445"/>
      <c r="AI40" s="445"/>
      <c r="AJ40" s="446"/>
      <c r="AK40" s="444"/>
      <c r="AL40" s="445"/>
      <c r="AM40" s="445"/>
      <c r="AN40" s="446"/>
      <c r="AO40" s="447"/>
      <c r="AP40" s="448"/>
      <c r="AQ40" s="448"/>
      <c r="AR40" s="448"/>
      <c r="AS40" s="448"/>
      <c r="AT40" s="448"/>
      <c r="AU40" s="448"/>
      <c r="AV40" s="448"/>
      <c r="AW40" s="448"/>
      <c r="AX40" s="448"/>
      <c r="AY40" s="448"/>
      <c r="AZ40" s="448"/>
      <c r="BA40" s="448"/>
      <c r="BB40" s="448"/>
      <c r="BC40" s="448"/>
      <c r="BD40" s="448"/>
      <c r="BE40" s="448"/>
      <c r="BF40" s="449"/>
    </row>
    <row r="41" spans="1:58" ht="15" customHeight="1" x14ac:dyDescent="0.2">
      <c r="A41" s="437"/>
      <c r="B41" s="437"/>
      <c r="C41" s="437"/>
      <c r="D41" s="437"/>
      <c r="E41" s="438"/>
      <c r="F41" s="438"/>
      <c r="G41" s="438"/>
      <c r="H41" s="438"/>
      <c r="I41" s="439"/>
      <c r="J41" s="439"/>
      <c r="K41" s="439"/>
      <c r="L41" s="439"/>
      <c r="O41" s="437"/>
      <c r="P41" s="437"/>
      <c r="Q41" s="437"/>
      <c r="R41" s="437"/>
      <c r="S41" s="438"/>
      <c r="T41" s="438"/>
      <c r="U41" s="438"/>
      <c r="V41" s="438"/>
      <c r="W41" s="439"/>
      <c r="X41" s="439"/>
      <c r="Y41" s="439"/>
      <c r="Z41" s="439"/>
      <c r="AC41" s="480"/>
      <c r="AD41" s="451"/>
      <c r="AE41" s="451"/>
      <c r="AF41" s="452"/>
      <c r="AG41" s="450"/>
      <c r="AH41" s="451"/>
      <c r="AI41" s="451"/>
      <c r="AJ41" s="452"/>
      <c r="AK41" s="450"/>
      <c r="AL41" s="451"/>
      <c r="AM41" s="451"/>
      <c r="AN41" s="452"/>
      <c r="AO41" s="453"/>
      <c r="AP41" s="454"/>
      <c r="AQ41" s="454"/>
      <c r="AR41" s="454"/>
      <c r="AS41" s="454"/>
      <c r="AT41" s="454"/>
      <c r="AU41" s="454"/>
      <c r="AV41" s="454"/>
      <c r="AW41" s="454"/>
      <c r="AX41" s="454"/>
      <c r="AY41" s="454"/>
      <c r="AZ41" s="454"/>
      <c r="BA41" s="454"/>
      <c r="BB41" s="454"/>
      <c r="BC41" s="454"/>
      <c r="BD41" s="454"/>
      <c r="BE41" s="454"/>
      <c r="BF41" s="455"/>
    </row>
    <row r="42" spans="1:58" ht="15" customHeight="1" x14ac:dyDescent="0.2">
      <c r="A42" s="434"/>
      <c r="B42" s="434"/>
      <c r="C42" s="434"/>
      <c r="D42" s="434"/>
      <c r="E42" s="435"/>
      <c r="F42" s="435"/>
      <c r="G42" s="435"/>
      <c r="H42" s="435"/>
      <c r="I42" s="436"/>
      <c r="J42" s="436"/>
      <c r="K42" s="436"/>
      <c r="L42" s="436"/>
      <c r="O42" s="434"/>
      <c r="P42" s="434"/>
      <c r="Q42" s="434"/>
      <c r="R42" s="434"/>
      <c r="S42" s="435"/>
      <c r="T42" s="435"/>
      <c r="U42" s="435"/>
      <c r="V42" s="435"/>
      <c r="W42" s="436"/>
      <c r="X42" s="436"/>
      <c r="Y42" s="436"/>
      <c r="Z42" s="436"/>
      <c r="AC42" s="475"/>
      <c r="AD42" s="445"/>
      <c r="AE42" s="445"/>
      <c r="AF42" s="446"/>
      <c r="AG42" s="444"/>
      <c r="AH42" s="445"/>
      <c r="AI42" s="445"/>
      <c r="AJ42" s="446"/>
      <c r="AK42" s="444"/>
      <c r="AL42" s="445"/>
      <c r="AM42" s="445"/>
      <c r="AN42" s="446"/>
      <c r="AO42" s="447"/>
      <c r="AP42" s="448"/>
      <c r="AQ42" s="448"/>
      <c r="AR42" s="448"/>
      <c r="AS42" s="448"/>
      <c r="AT42" s="448"/>
      <c r="AU42" s="448"/>
      <c r="AV42" s="448"/>
      <c r="AW42" s="448"/>
      <c r="AX42" s="448"/>
      <c r="AY42" s="448"/>
      <c r="AZ42" s="448"/>
      <c r="BA42" s="448"/>
      <c r="BB42" s="448"/>
      <c r="BC42" s="448"/>
      <c r="BD42" s="448"/>
      <c r="BE42" s="448"/>
      <c r="BF42" s="449"/>
    </row>
    <row r="43" spans="1:58" ht="15" customHeight="1" x14ac:dyDescent="0.2">
      <c r="A43" s="437"/>
      <c r="B43" s="437"/>
      <c r="C43" s="437"/>
      <c r="D43" s="437"/>
      <c r="E43" s="438"/>
      <c r="F43" s="438"/>
      <c r="G43" s="438"/>
      <c r="H43" s="438"/>
      <c r="I43" s="439"/>
      <c r="J43" s="439"/>
      <c r="K43" s="439"/>
      <c r="L43" s="439"/>
      <c r="O43" s="437"/>
      <c r="P43" s="437"/>
      <c r="Q43" s="437"/>
      <c r="R43" s="437"/>
      <c r="S43" s="438"/>
      <c r="T43" s="438"/>
      <c r="U43" s="438"/>
      <c r="V43" s="438"/>
      <c r="W43" s="439"/>
      <c r="X43" s="439"/>
      <c r="Y43" s="439"/>
      <c r="Z43" s="439"/>
      <c r="AC43" s="480"/>
      <c r="AD43" s="451"/>
      <c r="AE43" s="451"/>
      <c r="AF43" s="452"/>
      <c r="AG43" s="450"/>
      <c r="AH43" s="451"/>
      <c r="AI43" s="451"/>
      <c r="AJ43" s="452"/>
      <c r="AK43" s="450"/>
      <c r="AL43" s="451"/>
      <c r="AM43" s="451"/>
      <c r="AN43" s="452"/>
      <c r="AO43" s="453"/>
      <c r="AP43" s="454"/>
      <c r="AQ43" s="454"/>
      <c r="AR43" s="454"/>
      <c r="AS43" s="454"/>
      <c r="AT43" s="454"/>
      <c r="AU43" s="454"/>
      <c r="AV43" s="454"/>
      <c r="AW43" s="454"/>
      <c r="AX43" s="454"/>
      <c r="AY43" s="454"/>
      <c r="AZ43" s="454"/>
      <c r="BA43" s="454"/>
      <c r="BB43" s="454"/>
      <c r="BC43" s="454"/>
      <c r="BD43" s="454"/>
      <c r="BE43" s="454"/>
      <c r="BF43" s="455"/>
    </row>
    <row r="44" spans="1:58" ht="15" customHeight="1" x14ac:dyDescent="0.2">
      <c r="A44" s="434"/>
      <c r="B44" s="434"/>
      <c r="C44" s="434"/>
      <c r="D44" s="434"/>
      <c r="E44" s="435"/>
      <c r="F44" s="435"/>
      <c r="G44" s="435"/>
      <c r="H44" s="435"/>
      <c r="I44" s="436"/>
      <c r="J44" s="436"/>
      <c r="K44" s="436"/>
      <c r="L44" s="436"/>
      <c r="O44" s="434"/>
      <c r="P44" s="434"/>
      <c r="Q44" s="434"/>
      <c r="R44" s="434"/>
      <c r="S44" s="435"/>
      <c r="T44" s="435"/>
      <c r="U44" s="435"/>
      <c r="V44" s="435"/>
      <c r="W44" s="436"/>
      <c r="X44" s="436"/>
      <c r="Y44" s="436"/>
      <c r="Z44" s="436"/>
      <c r="AC44" s="475"/>
      <c r="AD44" s="445"/>
      <c r="AE44" s="445"/>
      <c r="AF44" s="446"/>
      <c r="AG44" s="444"/>
      <c r="AH44" s="445"/>
      <c r="AI44" s="445"/>
      <c r="AJ44" s="446"/>
      <c r="AK44" s="444"/>
      <c r="AL44" s="445"/>
      <c r="AM44" s="445"/>
      <c r="AN44" s="446"/>
      <c r="AO44" s="447"/>
      <c r="AP44" s="448"/>
      <c r="AQ44" s="448"/>
      <c r="AR44" s="448"/>
      <c r="AS44" s="448"/>
      <c r="AT44" s="448"/>
      <c r="AU44" s="448"/>
      <c r="AV44" s="448"/>
      <c r="AW44" s="448"/>
      <c r="AX44" s="448"/>
      <c r="AY44" s="448"/>
      <c r="AZ44" s="448"/>
      <c r="BA44" s="448"/>
      <c r="BB44" s="448"/>
      <c r="BC44" s="448"/>
      <c r="BD44" s="448"/>
      <c r="BE44" s="448"/>
      <c r="BF44" s="449"/>
    </row>
    <row r="45" spans="1:58" ht="15" customHeight="1" x14ac:dyDescent="0.2">
      <c r="A45" s="437"/>
      <c r="B45" s="437"/>
      <c r="C45" s="437"/>
      <c r="D45" s="437"/>
      <c r="E45" s="438"/>
      <c r="F45" s="438"/>
      <c r="G45" s="438"/>
      <c r="H45" s="438"/>
      <c r="I45" s="439"/>
      <c r="J45" s="439"/>
      <c r="K45" s="439"/>
      <c r="L45" s="439"/>
      <c r="O45" s="437"/>
      <c r="P45" s="437"/>
      <c r="Q45" s="437"/>
      <c r="R45" s="437"/>
      <c r="S45" s="438"/>
      <c r="T45" s="438"/>
      <c r="U45" s="438"/>
      <c r="V45" s="438"/>
      <c r="W45" s="439"/>
      <c r="X45" s="439"/>
      <c r="Y45" s="439"/>
      <c r="Z45" s="439"/>
      <c r="AC45" s="480"/>
      <c r="AD45" s="451"/>
      <c r="AE45" s="451"/>
      <c r="AF45" s="452"/>
      <c r="AG45" s="450"/>
      <c r="AH45" s="451"/>
      <c r="AI45" s="451"/>
      <c r="AJ45" s="452"/>
      <c r="AK45" s="450"/>
      <c r="AL45" s="451"/>
      <c r="AM45" s="451"/>
      <c r="AN45" s="452"/>
      <c r="AO45" s="453"/>
      <c r="AP45" s="454"/>
      <c r="AQ45" s="454"/>
      <c r="AR45" s="454"/>
      <c r="AS45" s="454"/>
      <c r="AT45" s="454"/>
      <c r="AU45" s="454"/>
      <c r="AV45" s="454"/>
      <c r="AW45" s="454"/>
      <c r="AX45" s="454"/>
      <c r="AY45" s="454"/>
      <c r="AZ45" s="454"/>
      <c r="BA45" s="454"/>
      <c r="BB45" s="454"/>
      <c r="BC45" s="454"/>
      <c r="BD45" s="454"/>
      <c r="BE45" s="454"/>
      <c r="BF45" s="455"/>
    </row>
    <row r="46" spans="1:58" ht="15" customHeight="1" x14ac:dyDescent="0.2">
      <c r="A46" s="434"/>
      <c r="B46" s="434"/>
      <c r="C46" s="434"/>
      <c r="D46" s="434"/>
      <c r="E46" s="435"/>
      <c r="F46" s="435"/>
      <c r="G46" s="435"/>
      <c r="H46" s="435"/>
      <c r="I46" s="436"/>
      <c r="J46" s="436"/>
      <c r="K46" s="436"/>
      <c r="L46" s="436"/>
      <c r="O46" s="434"/>
      <c r="P46" s="434"/>
      <c r="Q46" s="434"/>
      <c r="R46" s="434"/>
      <c r="S46" s="435"/>
      <c r="T46" s="435"/>
      <c r="U46" s="435"/>
      <c r="V46" s="435"/>
      <c r="W46" s="436"/>
      <c r="X46" s="436"/>
      <c r="Y46" s="436"/>
      <c r="Z46" s="436"/>
      <c r="AC46" s="475"/>
      <c r="AD46" s="445"/>
      <c r="AE46" s="445"/>
      <c r="AF46" s="446"/>
      <c r="AG46" s="444"/>
      <c r="AH46" s="445"/>
      <c r="AI46" s="445"/>
      <c r="AJ46" s="446"/>
      <c r="AK46" s="444"/>
      <c r="AL46" s="445"/>
      <c r="AM46" s="445"/>
      <c r="AN46" s="446"/>
      <c r="AO46" s="447"/>
      <c r="AP46" s="448"/>
      <c r="AQ46" s="448"/>
      <c r="AR46" s="448"/>
      <c r="AS46" s="448"/>
      <c r="AT46" s="448"/>
      <c r="AU46" s="448"/>
      <c r="AV46" s="448"/>
      <c r="AW46" s="448"/>
      <c r="AX46" s="448"/>
      <c r="AY46" s="448"/>
      <c r="AZ46" s="448"/>
      <c r="BA46" s="448"/>
      <c r="BB46" s="448"/>
      <c r="BC46" s="448"/>
      <c r="BD46" s="448"/>
      <c r="BE46" s="448"/>
      <c r="BF46" s="449"/>
    </row>
    <row r="47" spans="1:58" ht="15" customHeight="1" x14ac:dyDescent="0.2">
      <c r="A47" s="437"/>
      <c r="B47" s="437"/>
      <c r="C47" s="437"/>
      <c r="D47" s="437"/>
      <c r="E47" s="438"/>
      <c r="F47" s="438"/>
      <c r="G47" s="438"/>
      <c r="H47" s="438"/>
      <c r="I47" s="439"/>
      <c r="J47" s="439"/>
      <c r="K47" s="439"/>
      <c r="L47" s="439"/>
      <c r="O47" s="437"/>
      <c r="P47" s="437"/>
      <c r="Q47" s="437"/>
      <c r="R47" s="437"/>
      <c r="S47" s="438"/>
      <c r="T47" s="438"/>
      <c r="U47" s="438"/>
      <c r="V47" s="438"/>
      <c r="W47" s="439"/>
      <c r="X47" s="439"/>
      <c r="Y47" s="439"/>
      <c r="Z47" s="439"/>
      <c r="AC47" s="480"/>
      <c r="AD47" s="451"/>
      <c r="AE47" s="451"/>
      <c r="AF47" s="452"/>
      <c r="AG47" s="450"/>
      <c r="AH47" s="451"/>
      <c r="AI47" s="451"/>
      <c r="AJ47" s="452"/>
      <c r="AK47" s="450"/>
      <c r="AL47" s="451"/>
      <c r="AM47" s="451"/>
      <c r="AN47" s="452"/>
      <c r="AO47" s="453"/>
      <c r="AP47" s="454"/>
      <c r="AQ47" s="454"/>
      <c r="AR47" s="454"/>
      <c r="AS47" s="454"/>
      <c r="AT47" s="454"/>
      <c r="AU47" s="454"/>
      <c r="AV47" s="454"/>
      <c r="AW47" s="454"/>
      <c r="AX47" s="454"/>
      <c r="AY47" s="454"/>
      <c r="AZ47" s="454"/>
      <c r="BA47" s="454"/>
      <c r="BB47" s="454"/>
      <c r="BC47" s="454"/>
      <c r="BD47" s="454"/>
      <c r="BE47" s="454"/>
      <c r="BF47" s="455"/>
    </row>
    <row r="48" spans="1:58" ht="15" customHeight="1" x14ac:dyDescent="0.2">
      <c r="A48" s="434"/>
      <c r="B48" s="434"/>
      <c r="C48" s="434"/>
      <c r="D48" s="434"/>
      <c r="E48" s="435"/>
      <c r="F48" s="435"/>
      <c r="G48" s="435"/>
      <c r="H48" s="435"/>
      <c r="I48" s="436"/>
      <c r="J48" s="436"/>
      <c r="K48" s="436"/>
      <c r="L48" s="436"/>
      <c r="O48" s="434"/>
      <c r="P48" s="434"/>
      <c r="Q48" s="434"/>
      <c r="R48" s="434"/>
      <c r="S48" s="435"/>
      <c r="T48" s="435"/>
      <c r="U48" s="435"/>
      <c r="V48" s="435"/>
      <c r="W48" s="436"/>
      <c r="X48" s="436"/>
      <c r="Y48" s="436"/>
      <c r="Z48" s="436"/>
      <c r="AC48" s="475"/>
      <c r="AD48" s="445"/>
      <c r="AE48" s="445"/>
      <c r="AF48" s="446"/>
      <c r="AG48" s="444"/>
      <c r="AH48" s="445"/>
      <c r="AI48" s="445"/>
      <c r="AJ48" s="446"/>
      <c r="AK48" s="444"/>
      <c r="AL48" s="445"/>
      <c r="AM48" s="445"/>
      <c r="AN48" s="446"/>
      <c r="AO48" s="447"/>
      <c r="AP48" s="448"/>
      <c r="AQ48" s="448"/>
      <c r="AR48" s="448"/>
      <c r="AS48" s="448"/>
      <c r="AT48" s="448"/>
      <c r="AU48" s="448"/>
      <c r="AV48" s="448"/>
      <c r="AW48" s="448"/>
      <c r="AX48" s="448"/>
      <c r="AY48" s="448"/>
      <c r="AZ48" s="448"/>
      <c r="BA48" s="448"/>
      <c r="BB48" s="448"/>
      <c r="BC48" s="448"/>
      <c r="BD48" s="448"/>
      <c r="BE48" s="448"/>
      <c r="BF48" s="449"/>
    </row>
    <row r="49" spans="1:58" ht="15" customHeight="1" x14ac:dyDescent="0.2">
      <c r="A49" s="437"/>
      <c r="B49" s="437"/>
      <c r="C49" s="437"/>
      <c r="D49" s="437"/>
      <c r="E49" s="438"/>
      <c r="F49" s="438"/>
      <c r="G49" s="438"/>
      <c r="H49" s="438"/>
      <c r="I49" s="439"/>
      <c r="J49" s="439"/>
      <c r="K49" s="439"/>
      <c r="L49" s="439"/>
      <c r="O49" s="437"/>
      <c r="P49" s="437"/>
      <c r="Q49" s="437"/>
      <c r="R49" s="437"/>
      <c r="S49" s="438"/>
      <c r="T49" s="438"/>
      <c r="U49" s="438"/>
      <c r="V49" s="438"/>
      <c r="W49" s="439"/>
      <c r="X49" s="439"/>
      <c r="Y49" s="439"/>
      <c r="Z49" s="439"/>
      <c r="AC49" s="480"/>
      <c r="AD49" s="451"/>
      <c r="AE49" s="451"/>
      <c r="AF49" s="452"/>
      <c r="AG49" s="450"/>
      <c r="AH49" s="451"/>
      <c r="AI49" s="451"/>
      <c r="AJ49" s="452"/>
      <c r="AK49" s="450"/>
      <c r="AL49" s="451"/>
      <c r="AM49" s="451"/>
      <c r="AN49" s="452"/>
      <c r="AO49" s="453"/>
      <c r="AP49" s="454"/>
      <c r="AQ49" s="454"/>
      <c r="AR49" s="454"/>
      <c r="AS49" s="454"/>
      <c r="AT49" s="454"/>
      <c r="AU49" s="454"/>
      <c r="AV49" s="454"/>
      <c r="AW49" s="454"/>
      <c r="AX49" s="454"/>
      <c r="AY49" s="454"/>
      <c r="AZ49" s="454"/>
      <c r="BA49" s="454"/>
      <c r="BB49" s="454"/>
      <c r="BC49" s="454"/>
      <c r="BD49" s="454"/>
      <c r="BE49" s="454"/>
      <c r="BF49" s="455"/>
    </row>
    <row r="50" spans="1:58" ht="15" customHeight="1" x14ac:dyDescent="0.2">
      <c r="A50" s="434"/>
      <c r="B50" s="434"/>
      <c r="C50" s="434"/>
      <c r="D50" s="434"/>
      <c r="E50" s="435"/>
      <c r="F50" s="435"/>
      <c r="G50" s="435"/>
      <c r="H50" s="435"/>
      <c r="I50" s="436"/>
      <c r="J50" s="436"/>
      <c r="K50" s="436"/>
      <c r="L50" s="436"/>
      <c r="O50" s="434"/>
      <c r="P50" s="434"/>
      <c r="Q50" s="434"/>
      <c r="R50" s="434"/>
      <c r="S50" s="435"/>
      <c r="T50" s="435"/>
      <c r="U50" s="435"/>
      <c r="V50" s="435"/>
      <c r="W50" s="436"/>
      <c r="X50" s="436"/>
      <c r="Y50" s="436"/>
      <c r="Z50" s="436"/>
      <c r="AC50" s="475"/>
      <c r="AD50" s="445"/>
      <c r="AE50" s="445"/>
      <c r="AF50" s="446"/>
      <c r="AG50" s="444"/>
      <c r="AH50" s="445"/>
      <c r="AI50" s="445"/>
      <c r="AJ50" s="446"/>
      <c r="AK50" s="444"/>
      <c r="AL50" s="445"/>
      <c r="AM50" s="445"/>
      <c r="AN50" s="446"/>
      <c r="AO50" s="447"/>
      <c r="AP50" s="448"/>
      <c r="AQ50" s="448"/>
      <c r="AR50" s="448"/>
      <c r="AS50" s="448"/>
      <c r="AT50" s="448"/>
      <c r="AU50" s="448"/>
      <c r="AV50" s="448"/>
      <c r="AW50" s="448"/>
      <c r="AX50" s="448"/>
      <c r="AY50" s="448"/>
      <c r="AZ50" s="448"/>
      <c r="BA50" s="448"/>
      <c r="BB50" s="448"/>
      <c r="BC50" s="448"/>
      <c r="BD50" s="448"/>
      <c r="BE50" s="448"/>
      <c r="BF50" s="449"/>
    </row>
    <row r="51" spans="1:58" ht="15" customHeight="1" x14ac:dyDescent="0.2">
      <c r="A51" s="437"/>
      <c r="B51" s="437"/>
      <c r="C51" s="437"/>
      <c r="D51" s="437"/>
      <c r="E51" s="438"/>
      <c r="F51" s="438"/>
      <c r="G51" s="438"/>
      <c r="H51" s="438"/>
      <c r="I51" s="439"/>
      <c r="J51" s="439"/>
      <c r="K51" s="439"/>
      <c r="L51" s="439"/>
      <c r="O51" s="437"/>
      <c r="P51" s="437"/>
      <c r="Q51" s="437"/>
      <c r="R51" s="437"/>
      <c r="S51" s="438"/>
      <c r="T51" s="438"/>
      <c r="U51" s="438"/>
      <c r="V51" s="438"/>
      <c r="W51" s="439"/>
      <c r="X51" s="439"/>
      <c r="Y51" s="439"/>
      <c r="Z51" s="439"/>
      <c r="AC51" s="480"/>
      <c r="AD51" s="451"/>
      <c r="AE51" s="451"/>
      <c r="AF51" s="452"/>
      <c r="AG51" s="450"/>
      <c r="AH51" s="451"/>
      <c r="AI51" s="451"/>
      <c r="AJ51" s="452"/>
      <c r="AK51" s="450"/>
      <c r="AL51" s="451"/>
      <c r="AM51" s="451"/>
      <c r="AN51" s="452"/>
      <c r="AO51" s="453"/>
      <c r="AP51" s="454"/>
      <c r="AQ51" s="454"/>
      <c r="AR51" s="454"/>
      <c r="AS51" s="454"/>
      <c r="AT51" s="454"/>
      <c r="AU51" s="454"/>
      <c r="AV51" s="454"/>
      <c r="AW51" s="454"/>
      <c r="AX51" s="454"/>
      <c r="AY51" s="454"/>
      <c r="AZ51" s="454"/>
      <c r="BA51" s="454"/>
      <c r="BB51" s="454"/>
      <c r="BC51" s="454"/>
      <c r="BD51" s="454"/>
      <c r="BE51" s="454"/>
      <c r="BF51" s="455"/>
    </row>
    <row r="52" spans="1:58" ht="15" customHeight="1" x14ac:dyDescent="0.2">
      <c r="A52" s="434"/>
      <c r="B52" s="434"/>
      <c r="C52" s="434"/>
      <c r="D52" s="434"/>
      <c r="E52" s="435"/>
      <c r="F52" s="435"/>
      <c r="G52" s="435"/>
      <c r="H52" s="435"/>
      <c r="I52" s="436"/>
      <c r="J52" s="436"/>
      <c r="K52" s="436"/>
      <c r="L52" s="436"/>
      <c r="O52" s="434"/>
      <c r="P52" s="434"/>
      <c r="Q52" s="434"/>
      <c r="R52" s="434"/>
      <c r="S52" s="435"/>
      <c r="T52" s="435"/>
      <c r="U52" s="435"/>
      <c r="V52" s="435"/>
      <c r="W52" s="436"/>
      <c r="X52" s="436"/>
      <c r="Y52" s="436"/>
      <c r="Z52" s="436"/>
      <c r="AC52" s="475"/>
      <c r="AD52" s="445"/>
      <c r="AE52" s="445"/>
      <c r="AF52" s="446"/>
      <c r="AG52" s="444"/>
      <c r="AH52" s="445"/>
      <c r="AI52" s="445"/>
      <c r="AJ52" s="446"/>
      <c r="AK52" s="444"/>
      <c r="AL52" s="445"/>
      <c r="AM52" s="445"/>
      <c r="AN52" s="446"/>
      <c r="AO52" s="447"/>
      <c r="AP52" s="448"/>
      <c r="AQ52" s="448"/>
      <c r="AR52" s="448"/>
      <c r="AS52" s="448"/>
      <c r="AT52" s="448"/>
      <c r="AU52" s="448"/>
      <c r="AV52" s="448"/>
      <c r="AW52" s="448"/>
      <c r="AX52" s="448"/>
      <c r="AY52" s="448"/>
      <c r="AZ52" s="448"/>
      <c r="BA52" s="448"/>
      <c r="BB52" s="448"/>
      <c r="BC52" s="448"/>
      <c r="BD52" s="448"/>
      <c r="BE52" s="448"/>
      <c r="BF52" s="449"/>
    </row>
    <row r="53" spans="1:58" ht="15" customHeight="1" x14ac:dyDescent="0.2">
      <c r="A53" s="437"/>
      <c r="B53" s="437"/>
      <c r="C53" s="437"/>
      <c r="D53" s="437"/>
      <c r="E53" s="438"/>
      <c r="F53" s="438"/>
      <c r="G53" s="438"/>
      <c r="H53" s="438"/>
      <c r="I53" s="439"/>
      <c r="J53" s="439"/>
      <c r="K53" s="439"/>
      <c r="L53" s="439"/>
      <c r="O53" s="437"/>
      <c r="P53" s="437"/>
      <c r="Q53" s="437"/>
      <c r="R53" s="437"/>
      <c r="S53" s="438"/>
      <c r="T53" s="438"/>
      <c r="U53" s="438"/>
      <c r="V53" s="438"/>
      <c r="W53" s="439"/>
      <c r="X53" s="439"/>
      <c r="Y53" s="439"/>
      <c r="Z53" s="439"/>
      <c r="AC53" s="480"/>
      <c r="AD53" s="451"/>
      <c r="AE53" s="451"/>
      <c r="AF53" s="452"/>
      <c r="AG53" s="450"/>
      <c r="AH53" s="451"/>
      <c r="AI53" s="451"/>
      <c r="AJ53" s="452"/>
      <c r="AK53" s="450"/>
      <c r="AL53" s="451"/>
      <c r="AM53" s="451"/>
      <c r="AN53" s="452"/>
      <c r="AO53" s="453"/>
      <c r="AP53" s="454"/>
      <c r="AQ53" s="454"/>
      <c r="AR53" s="454"/>
      <c r="AS53" s="454"/>
      <c r="AT53" s="454"/>
      <c r="AU53" s="454"/>
      <c r="AV53" s="454"/>
      <c r="AW53" s="454"/>
      <c r="AX53" s="454"/>
      <c r="AY53" s="454"/>
      <c r="AZ53" s="454"/>
      <c r="BA53" s="454"/>
      <c r="BB53" s="454"/>
      <c r="BC53" s="454"/>
      <c r="BD53" s="454"/>
      <c r="BE53" s="454"/>
      <c r="BF53" s="455"/>
    </row>
    <row r="54" spans="1:58" ht="15" customHeight="1" x14ac:dyDescent="0.2">
      <c r="A54" s="434"/>
      <c r="B54" s="434"/>
      <c r="C54" s="434"/>
      <c r="D54" s="434"/>
      <c r="E54" s="435"/>
      <c r="F54" s="435"/>
      <c r="G54" s="435"/>
      <c r="H54" s="435"/>
      <c r="I54" s="436"/>
      <c r="J54" s="436"/>
      <c r="K54" s="436"/>
      <c r="L54" s="436"/>
      <c r="O54" s="434"/>
      <c r="P54" s="434"/>
      <c r="Q54" s="434"/>
      <c r="R54" s="434"/>
      <c r="S54" s="435"/>
      <c r="T54" s="435"/>
      <c r="U54" s="435"/>
      <c r="V54" s="435"/>
      <c r="W54" s="436"/>
      <c r="X54" s="436"/>
      <c r="Y54" s="436"/>
      <c r="Z54" s="436"/>
      <c r="AC54" s="475"/>
      <c r="AD54" s="445"/>
      <c r="AE54" s="445"/>
      <c r="AF54" s="446"/>
      <c r="AG54" s="444"/>
      <c r="AH54" s="445"/>
      <c r="AI54" s="445"/>
      <c r="AJ54" s="446"/>
      <c r="AK54" s="444"/>
      <c r="AL54" s="445"/>
      <c r="AM54" s="445"/>
      <c r="AN54" s="446"/>
      <c r="AO54" s="447"/>
      <c r="AP54" s="448"/>
      <c r="AQ54" s="448"/>
      <c r="AR54" s="448"/>
      <c r="AS54" s="448"/>
      <c r="AT54" s="448"/>
      <c r="AU54" s="448"/>
      <c r="AV54" s="448"/>
      <c r="AW54" s="448"/>
      <c r="AX54" s="448"/>
      <c r="AY54" s="448"/>
      <c r="AZ54" s="448"/>
      <c r="BA54" s="448"/>
      <c r="BB54" s="448"/>
      <c r="BC54" s="448"/>
      <c r="BD54" s="448"/>
      <c r="BE54" s="448"/>
      <c r="BF54" s="449"/>
    </row>
    <row r="55" spans="1:58" ht="15" customHeight="1" x14ac:dyDescent="0.2">
      <c r="A55" s="437"/>
      <c r="B55" s="437"/>
      <c r="C55" s="437"/>
      <c r="D55" s="437"/>
      <c r="E55" s="438"/>
      <c r="F55" s="438"/>
      <c r="G55" s="438"/>
      <c r="H55" s="438"/>
      <c r="I55" s="439"/>
      <c r="J55" s="439"/>
      <c r="K55" s="439"/>
      <c r="L55" s="439"/>
      <c r="O55" s="437"/>
      <c r="P55" s="437"/>
      <c r="Q55" s="437"/>
      <c r="R55" s="437"/>
      <c r="S55" s="438"/>
      <c r="T55" s="438"/>
      <c r="U55" s="438"/>
      <c r="V55" s="438"/>
      <c r="W55" s="439"/>
      <c r="X55" s="439"/>
      <c r="Y55" s="439"/>
      <c r="Z55" s="439"/>
      <c r="AC55" s="480"/>
      <c r="AD55" s="451"/>
      <c r="AE55" s="451"/>
      <c r="AF55" s="452"/>
      <c r="AG55" s="450"/>
      <c r="AH55" s="451"/>
      <c r="AI55" s="451"/>
      <c r="AJ55" s="452"/>
      <c r="AK55" s="450"/>
      <c r="AL55" s="451"/>
      <c r="AM55" s="451"/>
      <c r="AN55" s="452"/>
      <c r="AO55" s="453"/>
      <c r="AP55" s="454"/>
      <c r="AQ55" s="454"/>
      <c r="AR55" s="454"/>
      <c r="AS55" s="454"/>
      <c r="AT55" s="454"/>
      <c r="AU55" s="454"/>
      <c r="AV55" s="454"/>
      <c r="AW55" s="454"/>
      <c r="AX55" s="454"/>
      <c r="AY55" s="454"/>
      <c r="AZ55" s="454"/>
      <c r="BA55" s="454"/>
      <c r="BB55" s="454"/>
      <c r="BC55" s="454"/>
      <c r="BD55" s="454"/>
      <c r="BE55" s="454"/>
      <c r="BF55" s="455"/>
    </row>
    <row r="56" spans="1:58" ht="15" customHeight="1" x14ac:dyDescent="0.2">
      <c r="A56" s="434"/>
      <c r="B56" s="434"/>
      <c r="C56" s="434"/>
      <c r="D56" s="434"/>
      <c r="E56" s="435"/>
      <c r="F56" s="435"/>
      <c r="G56" s="435"/>
      <c r="H56" s="435"/>
      <c r="I56" s="436"/>
      <c r="J56" s="436"/>
      <c r="K56" s="436"/>
      <c r="L56" s="436"/>
      <c r="O56" s="434"/>
      <c r="P56" s="434"/>
      <c r="Q56" s="434"/>
      <c r="R56" s="434"/>
      <c r="S56" s="435"/>
      <c r="T56" s="435"/>
      <c r="U56" s="435"/>
      <c r="V56" s="435"/>
      <c r="W56" s="436"/>
      <c r="X56" s="436"/>
      <c r="Y56" s="436"/>
      <c r="Z56" s="436"/>
      <c r="AC56" s="475"/>
      <c r="AD56" s="445"/>
      <c r="AE56" s="445"/>
      <c r="AF56" s="446"/>
      <c r="AG56" s="444"/>
      <c r="AH56" s="445"/>
      <c r="AI56" s="445"/>
      <c r="AJ56" s="446"/>
      <c r="AK56" s="444"/>
      <c r="AL56" s="445"/>
      <c r="AM56" s="445"/>
      <c r="AN56" s="446"/>
      <c r="AO56" s="447"/>
      <c r="AP56" s="448"/>
      <c r="AQ56" s="448"/>
      <c r="AR56" s="448"/>
      <c r="AS56" s="448"/>
      <c r="AT56" s="448"/>
      <c r="AU56" s="448"/>
      <c r="AV56" s="448"/>
      <c r="AW56" s="448"/>
      <c r="AX56" s="448"/>
      <c r="AY56" s="448"/>
      <c r="AZ56" s="448"/>
      <c r="BA56" s="448"/>
      <c r="BB56" s="448"/>
      <c r="BC56" s="448"/>
      <c r="BD56" s="448"/>
      <c r="BE56" s="448"/>
      <c r="BF56" s="449"/>
    </row>
    <row r="57" spans="1:58" ht="15" customHeight="1" x14ac:dyDescent="0.2">
      <c r="A57" s="437"/>
      <c r="B57" s="437"/>
      <c r="C57" s="437"/>
      <c r="D57" s="437"/>
      <c r="E57" s="438"/>
      <c r="F57" s="438"/>
      <c r="G57" s="438"/>
      <c r="H57" s="438"/>
      <c r="I57" s="439"/>
      <c r="J57" s="439"/>
      <c r="K57" s="439"/>
      <c r="L57" s="439"/>
      <c r="O57" s="437"/>
      <c r="P57" s="437"/>
      <c r="Q57" s="437"/>
      <c r="R57" s="437"/>
      <c r="S57" s="438"/>
      <c r="T57" s="438"/>
      <c r="U57" s="438"/>
      <c r="V57" s="438"/>
      <c r="W57" s="439"/>
      <c r="X57" s="439"/>
      <c r="Y57" s="439"/>
      <c r="Z57" s="439"/>
      <c r="AC57" s="480"/>
      <c r="AD57" s="451"/>
      <c r="AE57" s="451"/>
      <c r="AF57" s="452"/>
      <c r="AG57" s="450"/>
      <c r="AH57" s="451"/>
      <c r="AI57" s="451"/>
      <c r="AJ57" s="452"/>
      <c r="AK57" s="450"/>
      <c r="AL57" s="451"/>
      <c r="AM57" s="451"/>
      <c r="AN57" s="452"/>
      <c r="AO57" s="453"/>
      <c r="AP57" s="454"/>
      <c r="AQ57" s="454"/>
      <c r="AR57" s="454"/>
      <c r="AS57" s="454"/>
      <c r="AT57" s="454"/>
      <c r="AU57" s="454"/>
      <c r="AV57" s="454"/>
      <c r="AW57" s="454"/>
      <c r="AX57" s="454"/>
      <c r="AY57" s="454"/>
      <c r="AZ57" s="454"/>
      <c r="BA57" s="454"/>
      <c r="BB57" s="454"/>
      <c r="BC57" s="454"/>
      <c r="BD57" s="454"/>
      <c r="BE57" s="454"/>
      <c r="BF57" s="455"/>
    </row>
    <row r="58" spans="1:58" ht="15" customHeight="1" x14ac:dyDescent="0.2">
      <c r="A58" s="434"/>
      <c r="B58" s="434"/>
      <c r="C58" s="434"/>
      <c r="D58" s="434"/>
      <c r="E58" s="435"/>
      <c r="F58" s="435"/>
      <c r="G58" s="435"/>
      <c r="H58" s="435"/>
      <c r="I58" s="436"/>
      <c r="J58" s="436"/>
      <c r="K58" s="436"/>
      <c r="L58" s="436"/>
      <c r="O58" s="434"/>
      <c r="P58" s="434"/>
      <c r="Q58" s="434"/>
      <c r="R58" s="434"/>
      <c r="S58" s="435"/>
      <c r="T58" s="435"/>
      <c r="U58" s="435"/>
      <c r="V58" s="435"/>
      <c r="W58" s="436"/>
      <c r="X58" s="436"/>
      <c r="Y58" s="436"/>
      <c r="Z58" s="436"/>
      <c r="AC58" s="475"/>
      <c r="AD58" s="445"/>
      <c r="AE58" s="445"/>
      <c r="AF58" s="446"/>
      <c r="AG58" s="444"/>
      <c r="AH58" s="445"/>
      <c r="AI58" s="445"/>
      <c r="AJ58" s="446"/>
      <c r="AK58" s="444"/>
      <c r="AL58" s="445"/>
      <c r="AM58" s="445"/>
      <c r="AN58" s="446"/>
      <c r="AO58" s="447"/>
      <c r="AP58" s="448"/>
      <c r="AQ58" s="448"/>
      <c r="AR58" s="448"/>
      <c r="AS58" s="448"/>
      <c r="AT58" s="448"/>
      <c r="AU58" s="448"/>
      <c r="AV58" s="448"/>
      <c r="AW58" s="448"/>
      <c r="AX58" s="448"/>
      <c r="AY58" s="448"/>
      <c r="AZ58" s="448"/>
      <c r="BA58" s="448"/>
      <c r="BB58" s="448"/>
      <c r="BC58" s="448"/>
      <c r="BD58" s="448"/>
      <c r="BE58" s="448"/>
      <c r="BF58" s="449"/>
    </row>
    <row r="59" spans="1:58" ht="15" customHeight="1" x14ac:dyDescent="0.2">
      <c r="A59" s="437"/>
      <c r="B59" s="437"/>
      <c r="C59" s="437"/>
      <c r="D59" s="437"/>
      <c r="E59" s="438"/>
      <c r="F59" s="438"/>
      <c r="G59" s="438"/>
      <c r="H59" s="438"/>
      <c r="I59" s="439"/>
      <c r="J59" s="439"/>
      <c r="K59" s="439"/>
      <c r="L59" s="439"/>
      <c r="O59" s="437"/>
      <c r="P59" s="437"/>
      <c r="Q59" s="437"/>
      <c r="R59" s="437"/>
      <c r="S59" s="438"/>
      <c r="T59" s="438"/>
      <c r="U59" s="438"/>
      <c r="V59" s="438"/>
      <c r="W59" s="439"/>
      <c r="X59" s="439"/>
      <c r="Y59" s="439"/>
      <c r="Z59" s="439"/>
      <c r="AC59" s="480"/>
      <c r="AD59" s="451"/>
      <c r="AE59" s="451"/>
      <c r="AF59" s="452"/>
      <c r="AG59" s="450"/>
      <c r="AH59" s="451"/>
      <c r="AI59" s="451"/>
      <c r="AJ59" s="452"/>
      <c r="AK59" s="450"/>
      <c r="AL59" s="451"/>
      <c r="AM59" s="451"/>
      <c r="AN59" s="452"/>
      <c r="AO59" s="453"/>
      <c r="AP59" s="454"/>
      <c r="AQ59" s="454"/>
      <c r="AR59" s="454"/>
      <c r="AS59" s="454"/>
      <c r="AT59" s="454"/>
      <c r="AU59" s="454"/>
      <c r="AV59" s="454"/>
      <c r="AW59" s="454"/>
      <c r="AX59" s="454"/>
      <c r="AY59" s="454"/>
      <c r="AZ59" s="454"/>
      <c r="BA59" s="454"/>
      <c r="BB59" s="454"/>
      <c r="BC59" s="454"/>
      <c r="BD59" s="454"/>
      <c r="BE59" s="454"/>
      <c r="BF59" s="455"/>
    </row>
    <row r="60" spans="1:58" ht="15" customHeight="1" x14ac:dyDescent="0.2">
      <c r="A60" s="434"/>
      <c r="B60" s="434"/>
      <c r="C60" s="434"/>
      <c r="D60" s="434"/>
      <c r="E60" s="435"/>
      <c r="F60" s="435"/>
      <c r="G60" s="435"/>
      <c r="H60" s="435"/>
      <c r="I60" s="436"/>
      <c r="J60" s="436"/>
      <c r="K60" s="436"/>
      <c r="L60" s="436"/>
      <c r="O60" s="434"/>
      <c r="P60" s="434"/>
      <c r="Q60" s="434"/>
      <c r="R60" s="434"/>
      <c r="S60" s="435"/>
      <c r="T60" s="435"/>
      <c r="U60" s="435"/>
      <c r="V60" s="435"/>
      <c r="W60" s="436"/>
      <c r="X60" s="436"/>
      <c r="Y60" s="436"/>
      <c r="Z60" s="436"/>
      <c r="AC60" s="475"/>
      <c r="AD60" s="445"/>
      <c r="AE60" s="445"/>
      <c r="AF60" s="446"/>
      <c r="AG60" s="444"/>
      <c r="AH60" s="445"/>
      <c r="AI60" s="445"/>
      <c r="AJ60" s="446"/>
      <c r="AK60" s="444"/>
      <c r="AL60" s="445"/>
      <c r="AM60" s="445"/>
      <c r="AN60" s="446"/>
      <c r="AO60" s="447"/>
      <c r="AP60" s="448"/>
      <c r="AQ60" s="448"/>
      <c r="AR60" s="448"/>
      <c r="AS60" s="448"/>
      <c r="AT60" s="448"/>
      <c r="AU60" s="448"/>
      <c r="AV60" s="448"/>
      <c r="AW60" s="448"/>
      <c r="AX60" s="448"/>
      <c r="AY60" s="448"/>
      <c r="AZ60" s="448"/>
      <c r="BA60" s="448"/>
      <c r="BB60" s="448"/>
      <c r="BC60" s="448"/>
      <c r="BD60" s="448"/>
      <c r="BE60" s="448"/>
      <c r="BF60" s="449"/>
    </row>
    <row r="61" spans="1:58" ht="15" customHeight="1" x14ac:dyDescent="0.2">
      <c r="A61" s="437"/>
      <c r="B61" s="437"/>
      <c r="C61" s="437"/>
      <c r="D61" s="437"/>
      <c r="E61" s="438"/>
      <c r="F61" s="438"/>
      <c r="G61" s="438"/>
      <c r="H61" s="438"/>
      <c r="I61" s="439"/>
      <c r="J61" s="439"/>
      <c r="K61" s="439"/>
      <c r="L61" s="439"/>
      <c r="O61" s="437"/>
      <c r="P61" s="437"/>
      <c r="Q61" s="437"/>
      <c r="R61" s="437"/>
      <c r="S61" s="438"/>
      <c r="T61" s="438"/>
      <c r="U61" s="438"/>
      <c r="V61" s="438"/>
      <c r="W61" s="439"/>
      <c r="X61" s="439"/>
      <c r="Y61" s="439"/>
      <c r="Z61" s="439"/>
      <c r="AC61" s="480"/>
      <c r="AD61" s="451"/>
      <c r="AE61" s="451"/>
      <c r="AF61" s="452"/>
      <c r="AG61" s="450"/>
      <c r="AH61" s="451"/>
      <c r="AI61" s="451"/>
      <c r="AJ61" s="452"/>
      <c r="AK61" s="450"/>
      <c r="AL61" s="451"/>
      <c r="AM61" s="451"/>
      <c r="AN61" s="452"/>
      <c r="AO61" s="453"/>
      <c r="AP61" s="454"/>
      <c r="AQ61" s="454"/>
      <c r="AR61" s="454"/>
      <c r="AS61" s="454"/>
      <c r="AT61" s="454"/>
      <c r="AU61" s="454"/>
      <c r="AV61" s="454"/>
      <c r="AW61" s="454"/>
      <c r="AX61" s="454"/>
      <c r="AY61" s="454"/>
      <c r="AZ61" s="454"/>
      <c r="BA61" s="454"/>
      <c r="BB61" s="454"/>
      <c r="BC61" s="454"/>
      <c r="BD61" s="454"/>
      <c r="BE61" s="454"/>
      <c r="BF61" s="455"/>
    </row>
    <row r="62" spans="1:58" ht="15" customHeight="1" thickBot="1" x14ac:dyDescent="0.25">
      <c r="A62" s="473"/>
      <c r="B62" s="473"/>
      <c r="C62" s="473"/>
      <c r="D62" s="473"/>
      <c r="E62" s="476"/>
      <c r="F62" s="476"/>
      <c r="G62" s="476"/>
      <c r="H62" s="476"/>
      <c r="I62" s="474"/>
      <c r="J62" s="474"/>
      <c r="K62" s="474"/>
      <c r="L62" s="474"/>
      <c r="O62" s="473"/>
      <c r="P62" s="473"/>
      <c r="Q62" s="473"/>
      <c r="R62" s="473"/>
      <c r="S62" s="476"/>
      <c r="T62" s="476"/>
      <c r="U62" s="476"/>
      <c r="V62" s="476"/>
      <c r="W62" s="474"/>
      <c r="X62" s="474"/>
      <c r="Y62" s="474"/>
      <c r="Z62" s="474"/>
      <c r="AC62" s="477"/>
      <c r="AD62" s="478"/>
      <c r="AE62" s="478"/>
      <c r="AF62" s="479"/>
      <c r="AG62" s="563"/>
      <c r="AH62" s="478"/>
      <c r="AI62" s="478"/>
      <c r="AJ62" s="479"/>
      <c r="AK62" s="563"/>
      <c r="AL62" s="478"/>
      <c r="AM62" s="478"/>
      <c r="AN62" s="479"/>
      <c r="AO62" s="564"/>
      <c r="AP62" s="565"/>
      <c r="AQ62" s="565"/>
      <c r="AR62" s="565"/>
      <c r="AS62" s="565"/>
      <c r="AT62" s="565"/>
      <c r="AU62" s="565"/>
      <c r="AV62" s="565"/>
      <c r="AW62" s="565"/>
      <c r="AX62" s="565"/>
      <c r="AY62" s="565"/>
      <c r="AZ62" s="565"/>
      <c r="BA62" s="565"/>
      <c r="BB62" s="565"/>
      <c r="BC62" s="565"/>
      <c r="BD62" s="565"/>
      <c r="BE62" s="565"/>
      <c r="BF62" s="566"/>
    </row>
  </sheetData>
  <sheetProtection password="E882" sheet="1" objects="1" scenarios="1" selectLockedCells="1"/>
  <mergeCells count="473">
    <mergeCell ref="AG62:AJ62"/>
    <mergeCell ref="AK62:AN62"/>
    <mergeCell ref="AO62:BF62"/>
    <mergeCell ref="AG60:AJ60"/>
    <mergeCell ref="AK60:AN60"/>
    <mergeCell ref="AO60:BF60"/>
    <mergeCell ref="O61:R61"/>
    <mergeCell ref="S61:V61"/>
    <mergeCell ref="W61:Z61"/>
    <mergeCell ref="AC61:AF61"/>
    <mergeCell ref="AG61:AJ61"/>
    <mergeCell ref="AK61:AN61"/>
    <mergeCell ref="AO61:BF61"/>
    <mergeCell ref="O57:R57"/>
    <mergeCell ref="S57:V57"/>
    <mergeCell ref="W57:Z57"/>
    <mergeCell ref="AC57:AF57"/>
    <mergeCell ref="AG57:AJ57"/>
    <mergeCell ref="AK57:AN57"/>
    <mergeCell ref="AO57:BF57"/>
    <mergeCell ref="O59:R59"/>
    <mergeCell ref="S59:V59"/>
    <mergeCell ref="W59:Z59"/>
    <mergeCell ref="AC59:AF59"/>
    <mergeCell ref="AG59:AJ59"/>
    <mergeCell ref="AK59:AN59"/>
    <mergeCell ref="AO59:BF59"/>
    <mergeCell ref="O55:R55"/>
    <mergeCell ref="S55:V55"/>
    <mergeCell ref="W55:Z55"/>
    <mergeCell ref="AC55:AF55"/>
    <mergeCell ref="AG55:AJ55"/>
    <mergeCell ref="AK55:AN55"/>
    <mergeCell ref="AO55:BF55"/>
    <mergeCell ref="O56:R56"/>
    <mergeCell ref="S56:V56"/>
    <mergeCell ref="W56:Z56"/>
    <mergeCell ref="AC56:AF56"/>
    <mergeCell ref="AG56:AJ56"/>
    <mergeCell ref="AK56:AN56"/>
    <mergeCell ref="AO56:BF56"/>
    <mergeCell ref="O51:R51"/>
    <mergeCell ref="S51:V51"/>
    <mergeCell ref="W51:Z51"/>
    <mergeCell ref="AC51:AF51"/>
    <mergeCell ref="AG51:AJ51"/>
    <mergeCell ref="AK51:AN51"/>
    <mergeCell ref="AO51:BF51"/>
    <mergeCell ref="O54:R54"/>
    <mergeCell ref="S54:V54"/>
    <mergeCell ref="W54:Z54"/>
    <mergeCell ref="AC54:AF54"/>
    <mergeCell ref="AG54:AJ54"/>
    <mergeCell ref="AK54:AN54"/>
    <mergeCell ref="AO54:BF54"/>
    <mergeCell ref="O49:R49"/>
    <mergeCell ref="S49:V49"/>
    <mergeCell ref="W49:Z49"/>
    <mergeCell ref="AC49:AF49"/>
    <mergeCell ref="AG49:AJ49"/>
    <mergeCell ref="AK49:AN49"/>
    <mergeCell ref="AO49:BF49"/>
    <mergeCell ref="O50:R50"/>
    <mergeCell ref="S50:V50"/>
    <mergeCell ref="W50:Z50"/>
    <mergeCell ref="AC50:AF50"/>
    <mergeCell ref="AG50:AJ50"/>
    <mergeCell ref="AK50:AN50"/>
    <mergeCell ref="AO50:BF50"/>
    <mergeCell ref="O47:R47"/>
    <mergeCell ref="S47:V47"/>
    <mergeCell ref="W47:Z47"/>
    <mergeCell ref="AC47:AF47"/>
    <mergeCell ref="AG47:AJ47"/>
    <mergeCell ref="AK47:AN47"/>
    <mergeCell ref="AO47:BF47"/>
    <mergeCell ref="O48:R48"/>
    <mergeCell ref="S48:V48"/>
    <mergeCell ref="W48:Z48"/>
    <mergeCell ref="AC48:AF48"/>
    <mergeCell ref="AG48:AJ48"/>
    <mergeCell ref="AK48:AN48"/>
    <mergeCell ref="AO48:BF48"/>
    <mergeCell ref="O45:R45"/>
    <mergeCell ref="S45:V45"/>
    <mergeCell ref="W45:Z45"/>
    <mergeCell ref="AC45:AF45"/>
    <mergeCell ref="AG45:AJ45"/>
    <mergeCell ref="AK45:AN45"/>
    <mergeCell ref="AO45:BF45"/>
    <mergeCell ref="O46:R46"/>
    <mergeCell ref="S46:V46"/>
    <mergeCell ref="W46:Z46"/>
    <mergeCell ref="AC46:AF46"/>
    <mergeCell ref="AG46:AJ46"/>
    <mergeCell ref="AK46:AN46"/>
    <mergeCell ref="AO46:BF46"/>
    <mergeCell ref="O43:R43"/>
    <mergeCell ref="S43:V43"/>
    <mergeCell ref="W43:Z43"/>
    <mergeCell ref="AC43:AF43"/>
    <mergeCell ref="AG43:AJ43"/>
    <mergeCell ref="AK43:AN43"/>
    <mergeCell ref="AO43:BF43"/>
    <mergeCell ref="O44:R44"/>
    <mergeCell ref="S44:V44"/>
    <mergeCell ref="W44:Z44"/>
    <mergeCell ref="AC44:AF44"/>
    <mergeCell ref="AG44:AJ44"/>
    <mergeCell ref="AK44:AN44"/>
    <mergeCell ref="AO44:BF44"/>
    <mergeCell ref="O41:R41"/>
    <mergeCell ref="S41:V41"/>
    <mergeCell ref="W41:Z41"/>
    <mergeCell ref="AC41:AF41"/>
    <mergeCell ref="AG41:AJ41"/>
    <mergeCell ref="AK41:AN41"/>
    <mergeCell ref="AO41:BF41"/>
    <mergeCell ref="O42:R42"/>
    <mergeCell ref="S42:V42"/>
    <mergeCell ref="W42:Z42"/>
    <mergeCell ref="AC42:AF42"/>
    <mergeCell ref="AG42:AJ42"/>
    <mergeCell ref="AK42:AN42"/>
    <mergeCell ref="AO42:BF42"/>
    <mergeCell ref="O39:R39"/>
    <mergeCell ref="S39:V39"/>
    <mergeCell ref="W39:Z39"/>
    <mergeCell ref="AC39:AF39"/>
    <mergeCell ref="AG39:AJ39"/>
    <mergeCell ref="AK39:AN39"/>
    <mergeCell ref="AO39:BF39"/>
    <mergeCell ref="O40:R40"/>
    <mergeCell ref="S40:V40"/>
    <mergeCell ref="W40:Z40"/>
    <mergeCell ref="AC40:AF40"/>
    <mergeCell ref="AG40:AJ40"/>
    <mergeCell ref="AK40:AN40"/>
    <mergeCell ref="AO40:BF40"/>
    <mergeCell ref="O36:R36"/>
    <mergeCell ref="S36:V36"/>
    <mergeCell ref="W36:Z36"/>
    <mergeCell ref="AC36:AF36"/>
    <mergeCell ref="AG36:AJ36"/>
    <mergeCell ref="AK36:AN36"/>
    <mergeCell ref="AO36:BF36"/>
    <mergeCell ref="AC38:AF38"/>
    <mergeCell ref="AG38:AJ38"/>
    <mergeCell ref="AK38:AN38"/>
    <mergeCell ref="AO38:BF38"/>
    <mergeCell ref="AC37:AF37"/>
    <mergeCell ref="O38:R38"/>
    <mergeCell ref="S38:V38"/>
    <mergeCell ref="W38:Z38"/>
    <mergeCell ref="AC31:AF31"/>
    <mergeCell ref="AG31:AJ31"/>
    <mergeCell ref="AK31:AN31"/>
    <mergeCell ref="AO31:BF31"/>
    <mergeCell ref="O33:R33"/>
    <mergeCell ref="S33:V33"/>
    <mergeCell ref="W33:Z33"/>
    <mergeCell ref="AC33:AF33"/>
    <mergeCell ref="AG33:AJ33"/>
    <mergeCell ref="AK33:AN33"/>
    <mergeCell ref="AO33:BF33"/>
    <mergeCell ref="AC32:AF32"/>
    <mergeCell ref="AG32:AJ32"/>
    <mergeCell ref="AY9:BF9"/>
    <mergeCell ref="G9:P9"/>
    <mergeCell ref="Q9:Z9"/>
    <mergeCell ref="AA9:AJ9"/>
    <mergeCell ref="AN9:AX9"/>
    <mergeCell ref="BB3:BF3"/>
    <mergeCell ref="U5:AH5"/>
    <mergeCell ref="AU7:BA7"/>
    <mergeCell ref="AR3:AV3"/>
    <mergeCell ref="K3:P3"/>
    <mergeCell ref="Q3:U3"/>
    <mergeCell ref="BB7:BF7"/>
    <mergeCell ref="AX5:BA5"/>
    <mergeCell ref="BB5:BF5"/>
    <mergeCell ref="E7:K7"/>
    <mergeCell ref="L7:AS7"/>
    <mergeCell ref="AP1:AT1"/>
    <mergeCell ref="AU1:BF1"/>
    <mergeCell ref="A3:D3"/>
    <mergeCell ref="E3:I3"/>
    <mergeCell ref="AW3:BA3"/>
    <mergeCell ref="W3:Z3"/>
    <mergeCell ref="AA3:AD3"/>
    <mergeCell ref="AF3:AI3"/>
    <mergeCell ref="AJ3:AM3"/>
    <mergeCell ref="A1:D1"/>
    <mergeCell ref="E1:S1"/>
    <mergeCell ref="U1:W1"/>
    <mergeCell ref="X1:AG1"/>
    <mergeCell ref="AI1:AL1"/>
    <mergeCell ref="AM1:AN1"/>
    <mergeCell ref="A5:D5"/>
    <mergeCell ref="E5:N5"/>
    <mergeCell ref="P5:T5"/>
    <mergeCell ref="AJ5:AN5"/>
    <mergeCell ref="AO5:AT5"/>
    <mergeCell ref="A9:F9"/>
    <mergeCell ref="AC13:AE13"/>
    <mergeCell ref="A13:C13"/>
    <mergeCell ref="D13:F13"/>
    <mergeCell ref="H13:J13"/>
    <mergeCell ref="K13:M13"/>
    <mergeCell ref="O13:Q13"/>
    <mergeCell ref="R13:T13"/>
    <mergeCell ref="V13:X13"/>
    <mergeCell ref="Y13:AA13"/>
    <mergeCell ref="A7:D7"/>
    <mergeCell ref="AN11:AX11"/>
    <mergeCell ref="BA13:BC13"/>
    <mergeCell ref="BD13:BF13"/>
    <mergeCell ref="AF13:AH13"/>
    <mergeCell ref="AM13:AO13"/>
    <mergeCell ref="AP13:AR13"/>
    <mergeCell ref="AT13:AV13"/>
    <mergeCell ref="AW13:AY13"/>
    <mergeCell ref="A11:F11"/>
    <mergeCell ref="G11:AJ11"/>
    <mergeCell ref="AY11:BF11"/>
    <mergeCell ref="BA15:BC15"/>
    <mergeCell ref="BD15:BF15"/>
    <mergeCell ref="A17:AO17"/>
    <mergeCell ref="A18:E18"/>
    <mergeCell ref="G18:K18"/>
    <mergeCell ref="M18:Q18"/>
    <mergeCell ref="S18:W18"/>
    <mergeCell ref="Y18:AC18"/>
    <mergeCell ref="AE18:AI18"/>
    <mergeCell ref="AK18:AO18"/>
    <mergeCell ref="AC15:AE15"/>
    <mergeCell ref="AF15:AH15"/>
    <mergeCell ref="AM15:AO15"/>
    <mergeCell ref="AP15:AR15"/>
    <mergeCell ref="AT15:AV15"/>
    <mergeCell ref="AW15:AY15"/>
    <mergeCell ref="A15:C15"/>
    <mergeCell ref="D15:F15"/>
    <mergeCell ref="H15:J15"/>
    <mergeCell ref="K15:M15"/>
    <mergeCell ref="O15:Q15"/>
    <mergeCell ref="R15:T15"/>
    <mergeCell ref="V15:X15"/>
    <mergeCell ref="Y15:AA15"/>
    <mergeCell ref="A27:Z27"/>
    <mergeCell ref="AC27:BF27"/>
    <mergeCell ref="O28:R28"/>
    <mergeCell ref="S28:V28"/>
    <mergeCell ref="A19:E19"/>
    <mergeCell ref="G19:K19"/>
    <mergeCell ref="M19:Q19"/>
    <mergeCell ref="S19:W19"/>
    <mergeCell ref="Y19:AC19"/>
    <mergeCell ref="AE19:AI19"/>
    <mergeCell ref="AK19:AO19"/>
    <mergeCell ref="AQ21:AR21"/>
    <mergeCell ref="A21:F21"/>
    <mergeCell ref="G21:H21"/>
    <mergeCell ref="J21:O21"/>
    <mergeCell ref="P21:R21"/>
    <mergeCell ref="T21:Y21"/>
    <mergeCell ref="Z21:AA21"/>
    <mergeCell ref="AC21:AH21"/>
    <mergeCell ref="AI21:AJ21"/>
    <mergeCell ref="AL21:AP21"/>
    <mergeCell ref="AK28:AN28"/>
    <mergeCell ref="AO28:BF28"/>
    <mergeCell ref="W28:Z28"/>
    <mergeCell ref="AC28:AF28"/>
    <mergeCell ref="AG28:AJ28"/>
    <mergeCell ref="O30:R30"/>
    <mergeCell ref="S30:V30"/>
    <mergeCell ref="W30:Z30"/>
    <mergeCell ref="AC30:AF30"/>
    <mergeCell ref="AG30:AJ30"/>
    <mergeCell ref="A29:D29"/>
    <mergeCell ref="E29:H29"/>
    <mergeCell ref="I29:L29"/>
    <mergeCell ref="A28:D28"/>
    <mergeCell ref="E28:H28"/>
    <mergeCell ref="I28:L28"/>
    <mergeCell ref="O29:R29"/>
    <mergeCell ref="S29:V29"/>
    <mergeCell ref="W29:Z29"/>
    <mergeCell ref="AC29:AF29"/>
    <mergeCell ref="AG29:AJ29"/>
    <mergeCell ref="A31:D31"/>
    <mergeCell ref="E31:H31"/>
    <mergeCell ref="I31:L31"/>
    <mergeCell ref="O32:R32"/>
    <mergeCell ref="S32:V32"/>
    <mergeCell ref="W32:Z32"/>
    <mergeCell ref="A30:D30"/>
    <mergeCell ref="E30:H30"/>
    <mergeCell ref="I30:L30"/>
    <mergeCell ref="O31:R31"/>
    <mergeCell ref="S31:V31"/>
    <mergeCell ref="W31:Z31"/>
    <mergeCell ref="A32:D32"/>
    <mergeCell ref="E32:H32"/>
    <mergeCell ref="I32:L32"/>
    <mergeCell ref="A33:D33"/>
    <mergeCell ref="E33:H33"/>
    <mergeCell ref="I33:L33"/>
    <mergeCell ref="A34:D34"/>
    <mergeCell ref="E34:H34"/>
    <mergeCell ref="I34:L34"/>
    <mergeCell ref="A35:D35"/>
    <mergeCell ref="E35:H35"/>
    <mergeCell ref="I35:L35"/>
    <mergeCell ref="O34:R34"/>
    <mergeCell ref="S34:V34"/>
    <mergeCell ref="W34:Z34"/>
    <mergeCell ref="AC34:AF34"/>
    <mergeCell ref="AG34:AJ34"/>
    <mergeCell ref="O35:R35"/>
    <mergeCell ref="S35:V35"/>
    <mergeCell ref="W35:Z35"/>
    <mergeCell ref="AC35:AF35"/>
    <mergeCell ref="AG35:AJ35"/>
    <mergeCell ref="A42:D42"/>
    <mergeCell ref="E42:H42"/>
    <mergeCell ref="I42:L42"/>
    <mergeCell ref="A40:D40"/>
    <mergeCell ref="E40:H40"/>
    <mergeCell ref="I40:L40"/>
    <mergeCell ref="A41:D41"/>
    <mergeCell ref="E41:H41"/>
    <mergeCell ref="I41:L41"/>
    <mergeCell ref="A45:D45"/>
    <mergeCell ref="E45:H45"/>
    <mergeCell ref="I45:L45"/>
    <mergeCell ref="A43:D43"/>
    <mergeCell ref="E43:H43"/>
    <mergeCell ref="I43:L43"/>
    <mergeCell ref="A44:D44"/>
    <mergeCell ref="E44:H44"/>
    <mergeCell ref="I44:L44"/>
    <mergeCell ref="A48:D48"/>
    <mergeCell ref="E48:H48"/>
    <mergeCell ref="I48:L48"/>
    <mergeCell ref="A46:D46"/>
    <mergeCell ref="E46:H46"/>
    <mergeCell ref="I46:L46"/>
    <mergeCell ref="A47:D47"/>
    <mergeCell ref="E47:H47"/>
    <mergeCell ref="I47:L47"/>
    <mergeCell ref="A51:D51"/>
    <mergeCell ref="E51:H51"/>
    <mergeCell ref="I51:L51"/>
    <mergeCell ref="A49:D49"/>
    <mergeCell ref="E49:H49"/>
    <mergeCell ref="I49:L49"/>
    <mergeCell ref="A50:D50"/>
    <mergeCell ref="E50:H50"/>
    <mergeCell ref="I50:L50"/>
    <mergeCell ref="I53:L53"/>
    <mergeCell ref="O52:R52"/>
    <mergeCell ref="O53:R53"/>
    <mergeCell ref="A54:D54"/>
    <mergeCell ref="E54:H54"/>
    <mergeCell ref="I54:L54"/>
    <mergeCell ref="S52:V52"/>
    <mergeCell ref="W52:Z52"/>
    <mergeCell ref="AC52:AF52"/>
    <mergeCell ref="S53:V53"/>
    <mergeCell ref="W53:Z53"/>
    <mergeCell ref="AC53:AF53"/>
    <mergeCell ref="A62:D62"/>
    <mergeCell ref="I62:L62"/>
    <mergeCell ref="A59:D59"/>
    <mergeCell ref="O58:R58"/>
    <mergeCell ref="S58:V58"/>
    <mergeCell ref="W58:Z58"/>
    <mergeCell ref="AC58:AF58"/>
    <mergeCell ref="E58:H58"/>
    <mergeCell ref="I58:L58"/>
    <mergeCell ref="E59:H59"/>
    <mergeCell ref="I59:L59"/>
    <mergeCell ref="E62:H62"/>
    <mergeCell ref="O60:R60"/>
    <mergeCell ref="S60:V60"/>
    <mergeCell ref="W60:Z60"/>
    <mergeCell ref="AC60:AF60"/>
    <mergeCell ref="O62:R62"/>
    <mergeCell ref="S62:V62"/>
    <mergeCell ref="W62:Z62"/>
    <mergeCell ref="AC62:AF62"/>
    <mergeCell ref="A39:D39"/>
    <mergeCell ref="E39:H39"/>
    <mergeCell ref="I39:L39"/>
    <mergeCell ref="A60:D60"/>
    <mergeCell ref="E60:H60"/>
    <mergeCell ref="I60:L60"/>
    <mergeCell ref="A58:D58"/>
    <mergeCell ref="A61:D61"/>
    <mergeCell ref="E61:H61"/>
    <mergeCell ref="I61:L61"/>
    <mergeCell ref="A55:D55"/>
    <mergeCell ref="E55:H55"/>
    <mergeCell ref="I55:L55"/>
    <mergeCell ref="A56:D56"/>
    <mergeCell ref="E56:H56"/>
    <mergeCell ref="I56:L56"/>
    <mergeCell ref="A57:D57"/>
    <mergeCell ref="E57:H57"/>
    <mergeCell ref="I57:L57"/>
    <mergeCell ref="A52:D52"/>
    <mergeCell ref="E52:H52"/>
    <mergeCell ref="I52:L52"/>
    <mergeCell ref="A53:D53"/>
    <mergeCell ref="E53:H53"/>
    <mergeCell ref="A36:D36"/>
    <mergeCell ref="E36:H36"/>
    <mergeCell ref="I36:L36"/>
    <mergeCell ref="AK32:AN32"/>
    <mergeCell ref="AO32:BF32"/>
    <mergeCell ref="AG37:AJ37"/>
    <mergeCell ref="AK37:AN37"/>
    <mergeCell ref="AO37:BF37"/>
    <mergeCell ref="AC23:BF23"/>
    <mergeCell ref="A23:AA23"/>
    <mergeCell ref="AR25:AT25"/>
    <mergeCell ref="AY25:BA25"/>
    <mergeCell ref="AC24:AH24"/>
    <mergeCell ref="H24:M24"/>
    <mergeCell ref="H25:M25"/>
    <mergeCell ref="V25:AA25"/>
    <mergeCell ref="V24:AA24"/>
    <mergeCell ref="A24:F24"/>
    <mergeCell ref="A25:F25"/>
    <mergeCell ref="O24:T24"/>
    <mergeCell ref="O25:T25"/>
    <mergeCell ref="AC25:AH25"/>
    <mergeCell ref="AJ25:AM25"/>
    <mergeCell ref="AO24:AT24"/>
    <mergeCell ref="AV24:BA24"/>
    <mergeCell ref="BC25:BF25"/>
    <mergeCell ref="AO25:AP25"/>
    <mergeCell ref="AV25:AW25"/>
    <mergeCell ref="BC24:BF24"/>
    <mergeCell ref="AJ24:AM24"/>
    <mergeCell ref="AG58:AJ58"/>
    <mergeCell ref="AK58:AN58"/>
    <mergeCell ref="AO58:BF58"/>
    <mergeCell ref="AG52:AJ52"/>
    <mergeCell ref="AK52:AN52"/>
    <mergeCell ref="AO52:BF52"/>
    <mergeCell ref="AG53:AJ53"/>
    <mergeCell ref="AK53:AN53"/>
    <mergeCell ref="AO53:BF53"/>
    <mergeCell ref="AK29:AN29"/>
    <mergeCell ref="AO29:BF29"/>
    <mergeCell ref="AK30:AN30"/>
    <mergeCell ref="AO30:BF30"/>
    <mergeCell ref="AK34:AN34"/>
    <mergeCell ref="AO34:BF34"/>
    <mergeCell ref="AK35:AN35"/>
    <mergeCell ref="AO35:BF35"/>
    <mergeCell ref="A38:D38"/>
    <mergeCell ref="E38:H38"/>
    <mergeCell ref="I38:L38"/>
    <mergeCell ref="A37:D37"/>
    <mergeCell ref="E37:H37"/>
    <mergeCell ref="I37:L37"/>
    <mergeCell ref="O37:R37"/>
    <mergeCell ref="S37:V37"/>
    <mergeCell ref="W37:Z37"/>
  </mergeCells>
  <conditionalFormatting sqref="D13:F13">
    <cfRule type="expression" dxfId="52" priority="28">
      <formula>OR(AND($E$3="Elf",$D$13&gt;90),(AND($E$3="Halbling",$D$13&gt;80)),(AND((OR($E$3="Berggnom",$E$3="Waldgnom")),$D$13&gt;60)),(AND($E$3="Zwerg",$D$13&lt;61)))</formula>
    </cfRule>
  </conditionalFormatting>
  <conditionalFormatting sqref="K13:M13">
    <cfRule type="expression" dxfId="51" priority="27">
      <formula>OR((AND($E$3="Halbling",$K$13&lt;61)),(AND((OR($E$3="Berggnom",$E$3="Waldgnom")),$K$13&lt;81)))</formula>
    </cfRule>
  </conditionalFormatting>
  <conditionalFormatting sqref="R13:T13">
    <cfRule type="expression" dxfId="50" priority="26">
      <formula>OR((AND($E$3="Halbling",$R$13&lt;91)),(AND((OR($E$3="Elf",$E$3="Berggnom",$E$3="Waldgnom")),$R$13&lt;81)),(AND($E$3="Zwerg",$R$13&gt;80)))</formula>
    </cfRule>
  </conditionalFormatting>
  <conditionalFormatting sqref="Y13:AA13">
    <cfRule type="expression" dxfId="49" priority="25">
      <formula>OR((AND($E$3="Halbling",$Y$13&lt;41)),(AND((OR($E$3="Elf",$E$3="Berggnom",$E$3="Waldgnom")),$Y$13&lt;51)),(AND($E$3="Zwerg",$Y$13&lt;61)))</formula>
    </cfRule>
  </conditionalFormatting>
  <conditionalFormatting sqref="AF13:AH13">
    <cfRule type="expression" dxfId="48" priority="24">
      <formula>AND($E$3="Elf",$AF$13&lt;51)</formula>
    </cfRule>
  </conditionalFormatting>
  <conditionalFormatting sqref="D15:F15">
    <cfRule type="expression" dxfId="47" priority="23">
      <formula>AND($E$3="Elf",$D$15&lt;51)</formula>
    </cfRule>
  </conditionalFormatting>
  <conditionalFormatting sqref="K15:M15">
    <cfRule type="expression" dxfId="46" priority="22">
      <formula>OR((AND((OR($E$3="Zwerg",$E$3="Berggnom",$E$3="Waldgnom")),$K$15&gt;80)),(AND($E$3="Elf",$K$15&lt;81)))</formula>
    </cfRule>
  </conditionalFormatting>
  <conditionalFormatting sqref="G19">
    <cfRule type="cellIs" dxfId="45" priority="21" operator="greaterThan">
      <formula>-1</formula>
    </cfRule>
  </conditionalFormatting>
  <conditionalFormatting sqref="M19">
    <cfRule type="cellIs" dxfId="44" priority="20" operator="greaterThan">
      <formula>-1</formula>
    </cfRule>
  </conditionalFormatting>
  <conditionalFormatting sqref="S19">
    <cfRule type="cellIs" dxfId="43" priority="19" operator="greaterThan">
      <formula>-1</formula>
    </cfRule>
  </conditionalFormatting>
  <conditionalFormatting sqref="Y19">
    <cfRule type="cellIs" dxfId="42" priority="18" operator="greaterThan">
      <formula>-1</formula>
    </cfRule>
  </conditionalFormatting>
  <conditionalFormatting sqref="AK19">
    <cfRule type="cellIs" dxfId="41" priority="16" operator="greaterThan">
      <formula>-1</formula>
    </cfRule>
  </conditionalFormatting>
  <conditionalFormatting sqref="AE19">
    <cfRule type="cellIs" dxfId="40" priority="17" operator="greaterThan">
      <formula>-1</formula>
    </cfRule>
  </conditionalFormatting>
  <conditionalFormatting sqref="AJ25">
    <cfRule type="expression" dxfId="39" priority="10">
      <formula>OR(AND($E$3="Elf",$D$13&gt;90),(AND($E$3="Halbling",$D$13&gt;80)),(AND((OR($E$3="Berggnom",$E$3="Waldgnom")),$D$13&gt;60)),(AND($E$3="Zwerg",$D$13&lt;61)))</formula>
    </cfRule>
  </conditionalFormatting>
  <conditionalFormatting sqref="AC25">
    <cfRule type="cellIs" dxfId="38" priority="7" operator="greaterThan">
      <formula>0</formula>
    </cfRule>
  </conditionalFormatting>
  <conditionalFormatting sqref="AR25:AT25">
    <cfRule type="cellIs" dxfId="37" priority="6" operator="greaterThan">
      <formula>0</formula>
    </cfRule>
  </conditionalFormatting>
  <conditionalFormatting sqref="AO25:AP25">
    <cfRule type="cellIs" dxfId="36" priority="4" operator="greaterThan">
      <formula>0</formula>
    </cfRule>
  </conditionalFormatting>
  <conditionalFormatting sqref="AY25:BA25">
    <cfRule type="cellIs" dxfId="35" priority="3" operator="greaterThan">
      <formula>0</formula>
    </cfRule>
  </conditionalFormatting>
  <conditionalFormatting sqref="AV25:AW25">
    <cfRule type="cellIs" dxfId="34" priority="1" operator="greaterThan">
      <formula>0</formula>
    </cfRule>
  </conditionalFormatting>
  <dataValidations xWindow="390" yWindow="270" count="7">
    <dataValidation type="list" allowBlank="1" showInputMessage="1" showErrorMessage="1" errorTitle="Fehler" error="Bitte Abenteurertyp aus der Dropdownliste auswählen!" promptTitle="Dropdown-Liste" prompt="Bitte Abenteurertyp auswählen!" sqref="X1:AG1">
      <formula1>TypListe</formula1>
    </dataValidation>
    <dataValidation type="list" allowBlank="1" showInputMessage="1" showErrorMessage="1" errorTitle="Fehler" error="Bitte Rasse aus der Dropdownliste auswählen!" promptTitle="Dropdown-Liste" prompt="Bitte Rasse auswählen!" sqref="E3:I3">
      <formula1>RasseListe</formula1>
    </dataValidation>
    <dataValidation type="list" allowBlank="1" showInputMessage="1" showErrorMessage="1" errorTitle="Fehler" error="Bitte Geschlecht aus der Dropdownliste auswählen!" promptTitle="Dropdown-Liste" prompt="Bitte Geschlecht auswählen!" sqref="Q3:U3">
      <formula1>GeschlechtListe</formula1>
    </dataValidation>
    <dataValidation type="list" showInputMessage="1" showErrorMessage="1" errorTitle="Fehler" error="Bitte Zauberprozess aus der Dropdownliste auswählen!" promptTitle="Dropdown-Liste" prompt="Nur für Magier: Bitte Zauberprozess auswählen!" sqref="AY9:BF10">
      <formula1>ZauProzess</formula1>
    </dataValidation>
    <dataValidation type="list" allowBlank="1" showInputMessage="1" showErrorMessage="1" errorTitle="Fehler" error="Bitte Heimat aus der Dropdownliste auswählen!" promptTitle="Dropdown-Liste" prompt="Bitte Heimat auswählen!" sqref="E5:N5">
      <formula1>Land</formula1>
    </dataValidation>
    <dataValidation type="list" allowBlank="1" showInputMessage="1" showErrorMessage="1" errorTitle="Fehler" error="Bitte Spezialwaffe aus der Dropdownliste auswählen!" promptTitle="Dropdown-Liste" prompt="Bitte Spezialwaffe auswählen!" sqref="G9:AJ9">
      <formula1>Spezialwaffen</formula1>
    </dataValidation>
    <dataValidation type="list" allowBlank="1" showInputMessage="1" showErrorMessage="1" errorTitle="Fehler" error="Bitte Zauber aus der Dropdownliste auswählen!" promptTitle="Dropdown-Liste" prompt="Bitte Zauber auswählen!" sqref="AC24:AH24">
      <formula1>MagischeStärke</formula1>
    </dataValidation>
  </dataValidations>
  <printOptions horizontalCentered="1"/>
  <pageMargins left="0.19685039370078741" right="0.19685039370078741" top="0.19685039370078741" bottom="0.19685039370078741" header="0.51181102362204722" footer="0.51181102362204722"/>
  <pageSetup paperSize="9" firstPageNumber="0"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tabColor theme="3" tint="-0.249977111117893"/>
  </sheetPr>
  <dimension ref="A1:M92"/>
  <sheetViews>
    <sheetView showGridLines="0" workbookViewId="0">
      <pane ySplit="1" topLeftCell="A2" activePane="bottomLeft" state="frozen"/>
      <selection pane="bottomLeft"/>
    </sheetView>
  </sheetViews>
  <sheetFormatPr baseColWidth="10" defaultColWidth="13.7109375" defaultRowHeight="12.75" x14ac:dyDescent="0.2"/>
  <cols>
    <col min="1" max="1" width="25.7109375" style="67" bestFit="1" customWidth="1"/>
    <col min="2" max="2" width="16.140625" style="154" bestFit="1" customWidth="1"/>
    <col min="3" max="3" width="10.42578125" style="154" bestFit="1" customWidth="1"/>
    <col min="4" max="4" width="10.85546875" style="154" bestFit="1" customWidth="1"/>
    <col min="5" max="5" width="11.5703125" style="155" bestFit="1" customWidth="1"/>
    <col min="6" max="6" width="13.42578125" style="155" bestFit="1" customWidth="1"/>
    <col min="7" max="7" width="9" style="156" bestFit="1" customWidth="1"/>
    <col min="8" max="8" width="11.140625" style="155" bestFit="1" customWidth="1"/>
    <col min="9" max="9" width="12.85546875" style="155" bestFit="1" customWidth="1"/>
    <col min="10" max="10" width="16.140625" style="67" bestFit="1" customWidth="1"/>
    <col min="11" max="11" width="8.5703125" style="67" bestFit="1" customWidth="1"/>
    <col min="12" max="16384" width="13.7109375" style="67"/>
  </cols>
  <sheetData>
    <row r="1" spans="1:13" ht="27" thickTop="1" thickBot="1" x14ac:dyDescent="0.25">
      <c r="A1" s="61" t="s">
        <v>153</v>
      </c>
      <c r="B1" s="62" t="s">
        <v>71</v>
      </c>
      <c r="C1" s="63" t="s">
        <v>920</v>
      </c>
      <c r="D1" s="63" t="s">
        <v>921</v>
      </c>
      <c r="E1" s="64" t="s">
        <v>922</v>
      </c>
      <c r="F1" s="64" t="s">
        <v>803</v>
      </c>
      <c r="G1" s="64" t="s">
        <v>31</v>
      </c>
      <c r="H1" s="63" t="s">
        <v>290</v>
      </c>
      <c r="I1" s="63" t="s">
        <v>77</v>
      </c>
      <c r="J1" s="65" t="s">
        <v>888</v>
      </c>
      <c r="K1" s="66" t="s">
        <v>1057</v>
      </c>
    </row>
    <row r="2" spans="1:13" x14ac:dyDescent="0.2">
      <c r="A2" s="68" t="str">
        <f>CONCATENATE("Anderthalbhänder",", ","beidhändig")</f>
        <v>Anderthalbhänder, beidhändig</v>
      </c>
      <c r="B2" s="69" t="s">
        <v>45</v>
      </c>
      <c r="C2" s="70">
        <v>31</v>
      </c>
      <c r="D2" s="70">
        <v>21</v>
      </c>
      <c r="E2" s="71">
        <v>1</v>
      </c>
      <c r="F2" s="72" t="s">
        <v>817</v>
      </c>
      <c r="G2" s="72" t="s">
        <v>825</v>
      </c>
      <c r="H2" s="72" t="s">
        <v>806</v>
      </c>
      <c r="I2" s="72" t="s">
        <v>894</v>
      </c>
      <c r="J2" s="73" t="str">
        <f>IF(I2="x",IF(ISERROR(FIND(",",A2)),A2,LEFT(A2,FIND(",",A2)-1)),"")</f>
        <v>Anderthalbhänder</v>
      </c>
      <c r="K2" s="74" t="s">
        <v>1056</v>
      </c>
      <c r="M2" s="75"/>
    </row>
    <row r="3" spans="1:13" x14ac:dyDescent="0.2">
      <c r="A3" s="76" t="s">
        <v>814</v>
      </c>
      <c r="B3" s="77" t="s">
        <v>37</v>
      </c>
      <c r="C3" s="78">
        <v>81</v>
      </c>
      <c r="D3" s="78">
        <v>21</v>
      </c>
      <c r="E3" s="79">
        <v>1</v>
      </c>
      <c r="F3" s="80" t="s">
        <v>805</v>
      </c>
      <c r="G3" s="80" t="s">
        <v>811</v>
      </c>
      <c r="H3" s="80" t="s">
        <v>806</v>
      </c>
      <c r="I3" s="80" t="s">
        <v>894</v>
      </c>
      <c r="J3" s="81"/>
      <c r="K3" s="82" t="s">
        <v>1056</v>
      </c>
      <c r="M3" s="75"/>
    </row>
    <row r="4" spans="1:13" x14ac:dyDescent="0.2">
      <c r="A4" s="76" t="s">
        <v>841</v>
      </c>
      <c r="B4" s="77" t="s">
        <v>46</v>
      </c>
      <c r="C4" s="78">
        <v>81</v>
      </c>
      <c r="D4" s="78">
        <v>31</v>
      </c>
      <c r="E4" s="79">
        <v>1</v>
      </c>
      <c r="F4" s="80" t="s">
        <v>817</v>
      </c>
      <c r="G4" s="80" t="s">
        <v>1250</v>
      </c>
      <c r="H4" s="80" t="s">
        <v>806</v>
      </c>
      <c r="I4" s="80" t="s">
        <v>894</v>
      </c>
      <c r="J4" s="81" t="str">
        <f t="shared" ref="J4:J14" si="0">IF(I4="x",IF(ISERROR(FIND(",",A4)),A4,LEFT(A4,FIND(",",A4)-1)),"")</f>
        <v>Barbarenstreitaxt</v>
      </c>
      <c r="K4" s="82" t="s">
        <v>1056</v>
      </c>
      <c r="M4" s="83"/>
    </row>
    <row r="5" spans="1:13" x14ac:dyDescent="0.2">
      <c r="A5" s="76" t="s">
        <v>851</v>
      </c>
      <c r="B5" s="77" t="s">
        <v>45</v>
      </c>
      <c r="C5" s="78">
        <v>61</v>
      </c>
      <c r="D5" s="78">
        <v>31</v>
      </c>
      <c r="E5" s="79">
        <v>1</v>
      </c>
      <c r="F5" s="80" t="s">
        <v>817</v>
      </c>
      <c r="G5" s="80" t="s">
        <v>1250</v>
      </c>
      <c r="H5" s="80" t="s">
        <v>806</v>
      </c>
      <c r="I5" s="80" t="s">
        <v>894</v>
      </c>
      <c r="J5" s="81" t="str">
        <f t="shared" si="0"/>
        <v>Bihänder</v>
      </c>
      <c r="K5" s="82" t="s">
        <v>1056</v>
      </c>
      <c r="M5" s="75"/>
    </row>
    <row r="6" spans="1:13" x14ac:dyDescent="0.2">
      <c r="A6" s="76" t="s">
        <v>836</v>
      </c>
      <c r="B6" s="77" t="s">
        <v>40</v>
      </c>
      <c r="C6" s="78">
        <v>21</v>
      </c>
      <c r="D6" s="78">
        <v>61</v>
      </c>
      <c r="E6" s="79">
        <v>1</v>
      </c>
      <c r="F6" s="80" t="s">
        <v>822</v>
      </c>
      <c r="G6" s="80" t="s">
        <v>1251</v>
      </c>
      <c r="H6" s="80" t="s">
        <v>806</v>
      </c>
      <c r="I6" s="80"/>
      <c r="J6" s="81" t="str">
        <f t="shared" si="0"/>
        <v/>
      </c>
      <c r="K6" s="82" t="s">
        <v>1056</v>
      </c>
      <c r="M6" s="75"/>
    </row>
    <row r="7" spans="1:13" x14ac:dyDescent="0.2">
      <c r="A7" s="76" t="s">
        <v>833</v>
      </c>
      <c r="B7" s="77" t="s">
        <v>39</v>
      </c>
      <c r="C7" s="78">
        <v>1</v>
      </c>
      <c r="D7" s="78">
        <v>1</v>
      </c>
      <c r="E7" s="79">
        <v>1</v>
      </c>
      <c r="F7" s="80" t="s">
        <v>828</v>
      </c>
      <c r="G7" s="80" t="s">
        <v>808</v>
      </c>
      <c r="H7" s="80" t="s">
        <v>806</v>
      </c>
      <c r="I7" s="80" t="s">
        <v>894</v>
      </c>
      <c r="J7" s="81" t="str">
        <f t="shared" si="0"/>
        <v>Dolch</v>
      </c>
      <c r="K7" s="82"/>
      <c r="M7" s="83"/>
    </row>
    <row r="8" spans="1:13" x14ac:dyDescent="0.2">
      <c r="A8" s="76" t="s">
        <v>1222</v>
      </c>
      <c r="B8" s="77" t="s">
        <v>55</v>
      </c>
      <c r="C8" s="78">
        <v>31</v>
      </c>
      <c r="D8" s="78">
        <v>1</v>
      </c>
      <c r="E8" s="79">
        <v>21</v>
      </c>
      <c r="F8" s="80" t="s">
        <v>822</v>
      </c>
      <c r="G8" s="80" t="s">
        <v>74</v>
      </c>
      <c r="H8" s="80" t="s">
        <v>806</v>
      </c>
      <c r="I8" s="80"/>
      <c r="J8" s="81" t="str">
        <f t="shared" si="0"/>
        <v/>
      </c>
      <c r="K8" s="82"/>
    </row>
    <row r="9" spans="1:13" x14ac:dyDescent="0.2">
      <c r="A9" s="84" t="s">
        <v>1223</v>
      </c>
      <c r="B9" s="77" t="s">
        <v>55</v>
      </c>
      <c r="C9" s="85">
        <v>31</v>
      </c>
      <c r="D9" s="85">
        <v>1</v>
      </c>
      <c r="E9" s="86">
        <v>31</v>
      </c>
      <c r="F9" s="80" t="s">
        <v>822</v>
      </c>
      <c r="G9" s="87" t="s">
        <v>853</v>
      </c>
      <c r="H9" s="80" t="s">
        <v>806</v>
      </c>
      <c r="I9" s="87"/>
      <c r="J9" s="88" t="str">
        <f t="shared" si="0"/>
        <v/>
      </c>
      <c r="K9" s="89"/>
    </row>
    <row r="10" spans="1:13" x14ac:dyDescent="0.2">
      <c r="A10" s="84" t="s">
        <v>1224</v>
      </c>
      <c r="B10" s="77" t="s">
        <v>55</v>
      </c>
      <c r="C10" s="85">
        <v>31</v>
      </c>
      <c r="D10" s="85">
        <v>1</v>
      </c>
      <c r="E10" s="86">
        <v>31</v>
      </c>
      <c r="F10" s="80" t="s">
        <v>822</v>
      </c>
      <c r="G10" s="87" t="s">
        <v>864</v>
      </c>
      <c r="H10" s="80" t="s">
        <v>806</v>
      </c>
      <c r="I10" s="87"/>
      <c r="J10" s="88" t="str">
        <f t="shared" si="0"/>
        <v/>
      </c>
      <c r="K10" s="89"/>
    </row>
    <row r="11" spans="1:13" x14ac:dyDescent="0.2">
      <c r="A11" s="84" t="s">
        <v>1225</v>
      </c>
      <c r="B11" s="77" t="s">
        <v>55</v>
      </c>
      <c r="C11" s="85">
        <v>61</v>
      </c>
      <c r="D11" s="85">
        <v>1</v>
      </c>
      <c r="E11" s="86">
        <v>61</v>
      </c>
      <c r="F11" s="80" t="s">
        <v>822</v>
      </c>
      <c r="G11" s="87" t="s">
        <v>808</v>
      </c>
      <c r="H11" s="80" t="s">
        <v>806</v>
      </c>
      <c r="I11" s="87"/>
      <c r="J11" s="88" t="str">
        <f t="shared" si="0"/>
        <v/>
      </c>
      <c r="K11" s="89"/>
    </row>
    <row r="12" spans="1:13" x14ac:dyDescent="0.2">
      <c r="A12" s="76" t="s">
        <v>816</v>
      </c>
      <c r="B12" s="77" t="s">
        <v>53</v>
      </c>
      <c r="C12" s="78">
        <v>1</v>
      </c>
      <c r="D12" s="78">
        <v>81</v>
      </c>
      <c r="E12" s="79">
        <v>1</v>
      </c>
      <c r="F12" s="80" t="s">
        <v>817</v>
      </c>
      <c r="G12" s="80" t="s">
        <v>818</v>
      </c>
      <c r="H12" s="80" t="s">
        <v>806</v>
      </c>
      <c r="I12" s="80" t="s">
        <v>894</v>
      </c>
      <c r="J12" s="81" t="str">
        <f t="shared" si="0"/>
        <v>Florett</v>
      </c>
      <c r="K12" s="82"/>
      <c r="M12" s="75"/>
    </row>
    <row r="13" spans="1:13" x14ac:dyDescent="0.2">
      <c r="A13" s="76" t="s">
        <v>819</v>
      </c>
      <c r="B13" s="77" t="s">
        <v>53</v>
      </c>
      <c r="C13" s="78">
        <v>61</v>
      </c>
      <c r="D13" s="78">
        <v>31</v>
      </c>
      <c r="E13" s="79">
        <v>1</v>
      </c>
      <c r="F13" s="80" t="s">
        <v>817</v>
      </c>
      <c r="G13" s="80" t="s">
        <v>811</v>
      </c>
      <c r="H13" s="80" t="s">
        <v>806</v>
      </c>
      <c r="I13" s="80" t="s">
        <v>894</v>
      </c>
      <c r="J13" s="81" t="str">
        <f t="shared" si="0"/>
        <v>Fuchtel</v>
      </c>
      <c r="K13" s="82"/>
      <c r="M13" s="83"/>
    </row>
    <row r="14" spans="1:13" x14ac:dyDescent="0.2">
      <c r="A14" s="76" t="s">
        <v>842</v>
      </c>
      <c r="B14" s="77" t="s">
        <v>46</v>
      </c>
      <c r="C14" s="78">
        <v>11</v>
      </c>
      <c r="D14" s="78">
        <v>61</v>
      </c>
      <c r="E14" s="79">
        <v>1</v>
      </c>
      <c r="F14" s="80" t="s">
        <v>817</v>
      </c>
      <c r="G14" s="80" t="s">
        <v>825</v>
      </c>
      <c r="H14" s="80" t="s">
        <v>806</v>
      </c>
      <c r="I14" s="80" t="s">
        <v>894</v>
      </c>
      <c r="J14" s="81" t="str">
        <f t="shared" si="0"/>
        <v>Glefe</v>
      </c>
      <c r="K14" s="82" t="s">
        <v>1056</v>
      </c>
      <c r="M14" s="75"/>
    </row>
    <row r="15" spans="1:13" x14ac:dyDescent="0.2">
      <c r="A15" s="76" t="s">
        <v>827</v>
      </c>
      <c r="B15" s="77" t="s">
        <v>47</v>
      </c>
      <c r="C15" s="78">
        <v>11</v>
      </c>
      <c r="D15" s="78">
        <v>61</v>
      </c>
      <c r="E15" s="79">
        <v>1</v>
      </c>
      <c r="F15" s="80" t="s">
        <v>828</v>
      </c>
      <c r="G15" s="80" t="s">
        <v>1251</v>
      </c>
      <c r="H15" s="80" t="s">
        <v>806</v>
      </c>
      <c r="I15" s="80" t="s">
        <v>894</v>
      </c>
      <c r="J15" s="81"/>
      <c r="K15" s="82" t="s">
        <v>1056</v>
      </c>
      <c r="M15" s="75"/>
    </row>
    <row r="16" spans="1:13" x14ac:dyDescent="0.2">
      <c r="A16" s="76" t="s">
        <v>804</v>
      </c>
      <c r="B16" s="77" t="s">
        <v>38</v>
      </c>
      <c r="C16" s="78">
        <v>11</v>
      </c>
      <c r="D16" s="78">
        <v>1</v>
      </c>
      <c r="E16" s="79">
        <v>1</v>
      </c>
      <c r="F16" s="80" t="s">
        <v>805</v>
      </c>
      <c r="G16" s="80" t="s">
        <v>1251</v>
      </c>
      <c r="H16" s="80" t="s">
        <v>806</v>
      </c>
      <c r="I16" s="80" t="s">
        <v>894</v>
      </c>
      <c r="J16" s="81" t="str">
        <f>IF(I16="x",IF(ISERROR(FIND(",",A16)),A16,LEFT(A16,FIND(",",A16)-1)),"")</f>
        <v>Handaxt</v>
      </c>
      <c r="K16" s="82"/>
      <c r="M16" s="83"/>
    </row>
    <row r="17" spans="1:13" x14ac:dyDescent="0.2">
      <c r="A17" s="76" t="s">
        <v>843</v>
      </c>
      <c r="B17" s="77" t="s">
        <v>46</v>
      </c>
      <c r="C17" s="78">
        <v>61</v>
      </c>
      <c r="D17" s="78">
        <v>61</v>
      </c>
      <c r="E17" s="79">
        <v>1</v>
      </c>
      <c r="F17" s="80" t="s">
        <v>817</v>
      </c>
      <c r="G17" s="80" t="s">
        <v>823</v>
      </c>
      <c r="H17" s="80" t="s">
        <v>806</v>
      </c>
      <c r="I17" s="80" t="s">
        <v>894</v>
      </c>
      <c r="J17" s="81" t="str">
        <f>IF(I17="x",IF(ISERROR(FIND(",",A17)),A17,LEFT(A17,FIND(",",A17)-1)),"")</f>
        <v>Hellebarde</v>
      </c>
      <c r="K17" s="82" t="s">
        <v>1056</v>
      </c>
      <c r="M17" s="83"/>
    </row>
    <row r="18" spans="1:13" x14ac:dyDescent="0.2">
      <c r="A18" s="76" t="s">
        <v>829</v>
      </c>
      <c r="B18" s="77" t="s">
        <v>47</v>
      </c>
      <c r="C18" s="78">
        <v>61</v>
      </c>
      <c r="D18" s="78">
        <v>61</v>
      </c>
      <c r="E18" s="79">
        <v>1</v>
      </c>
      <c r="F18" s="80" t="s">
        <v>828</v>
      </c>
      <c r="G18" s="80" t="s">
        <v>1251</v>
      </c>
      <c r="H18" s="80" t="s">
        <v>806</v>
      </c>
      <c r="I18" s="80" t="s">
        <v>894</v>
      </c>
      <c r="J18" s="81"/>
      <c r="K18" s="82" t="s">
        <v>1056</v>
      </c>
      <c r="M18" s="75"/>
    </row>
    <row r="19" spans="1:13" x14ac:dyDescent="0.2">
      <c r="A19" s="76" t="s">
        <v>837</v>
      </c>
      <c r="B19" s="77" t="s">
        <v>40</v>
      </c>
      <c r="C19" s="78">
        <v>31</v>
      </c>
      <c r="D19" s="78">
        <v>61</v>
      </c>
      <c r="E19" s="79">
        <v>1</v>
      </c>
      <c r="F19" s="80" t="s">
        <v>822</v>
      </c>
      <c r="G19" s="80" t="s">
        <v>1251</v>
      </c>
      <c r="H19" s="80" t="s">
        <v>806</v>
      </c>
      <c r="I19" s="80"/>
      <c r="J19" s="81" t="str">
        <f t="shared" ref="J19:J37" si="1">IF(I19="x",IF(ISERROR(FIND(",",A19)),A19,LEFT(A19,FIND(",",A19)-1)),"")</f>
        <v/>
      </c>
      <c r="K19" s="82" t="s">
        <v>1056</v>
      </c>
      <c r="M19" s="83"/>
    </row>
    <row r="20" spans="1:13" x14ac:dyDescent="0.2">
      <c r="A20" s="76" t="s">
        <v>807</v>
      </c>
      <c r="B20" s="77" t="s">
        <v>38</v>
      </c>
      <c r="C20" s="78">
        <v>1</v>
      </c>
      <c r="D20" s="78">
        <v>1</v>
      </c>
      <c r="E20" s="79">
        <v>1</v>
      </c>
      <c r="F20" s="80" t="s">
        <v>805</v>
      </c>
      <c r="G20" s="80" t="s">
        <v>808</v>
      </c>
      <c r="H20" s="80" t="s">
        <v>806</v>
      </c>
      <c r="I20" s="80" t="s">
        <v>894</v>
      </c>
      <c r="J20" s="81" t="str">
        <f t="shared" si="1"/>
        <v>Keule</v>
      </c>
      <c r="K20" s="82"/>
      <c r="M20" s="83"/>
    </row>
    <row r="21" spans="1:13" x14ac:dyDescent="0.2">
      <c r="A21" s="76" t="s">
        <v>821</v>
      </c>
      <c r="B21" s="77" t="s">
        <v>48</v>
      </c>
      <c r="C21" s="78">
        <v>61</v>
      </c>
      <c r="D21" s="78">
        <v>31</v>
      </c>
      <c r="E21" s="79">
        <v>1</v>
      </c>
      <c r="F21" s="80" t="s">
        <v>822</v>
      </c>
      <c r="G21" s="80" t="s">
        <v>823</v>
      </c>
      <c r="H21" s="80" t="s">
        <v>806</v>
      </c>
      <c r="I21" s="80"/>
      <c r="J21" s="81" t="str">
        <f t="shared" si="1"/>
        <v/>
      </c>
      <c r="K21" s="82" t="s">
        <v>1056</v>
      </c>
      <c r="M21" s="75"/>
    </row>
    <row r="22" spans="1:13" x14ac:dyDescent="0.2">
      <c r="A22" s="76" t="s">
        <v>809</v>
      </c>
      <c r="B22" s="77" t="s">
        <v>38</v>
      </c>
      <c r="C22" s="78">
        <v>61</v>
      </c>
      <c r="D22" s="78">
        <v>11</v>
      </c>
      <c r="E22" s="79">
        <v>1</v>
      </c>
      <c r="F22" s="80" t="s">
        <v>805</v>
      </c>
      <c r="G22" s="80" t="s">
        <v>1251</v>
      </c>
      <c r="H22" s="80" t="s">
        <v>806</v>
      </c>
      <c r="I22" s="80" t="s">
        <v>894</v>
      </c>
      <c r="J22" s="81" t="str">
        <f t="shared" si="1"/>
        <v>Kriegshammer</v>
      </c>
      <c r="K22" s="82"/>
      <c r="M22" s="75"/>
    </row>
    <row r="23" spans="1:13" x14ac:dyDescent="0.2">
      <c r="A23" s="76" t="s">
        <v>1291</v>
      </c>
      <c r="B23" s="77" t="s">
        <v>37</v>
      </c>
      <c r="C23" s="78">
        <v>31</v>
      </c>
      <c r="D23" s="78">
        <v>11</v>
      </c>
      <c r="E23" s="79">
        <v>1</v>
      </c>
      <c r="F23" s="80" t="s">
        <v>805</v>
      </c>
      <c r="G23" s="80" t="s">
        <v>1251</v>
      </c>
      <c r="H23" s="80" t="s">
        <v>806</v>
      </c>
      <c r="I23" s="80" t="s">
        <v>894</v>
      </c>
      <c r="J23" s="81" t="str">
        <f t="shared" si="1"/>
        <v>Krummsäbel</v>
      </c>
      <c r="K23" s="82"/>
      <c r="M23" s="75"/>
    </row>
    <row r="24" spans="1:13" x14ac:dyDescent="0.2">
      <c r="A24" s="76" t="s">
        <v>834</v>
      </c>
      <c r="B24" s="77" t="s">
        <v>39</v>
      </c>
      <c r="C24" s="78">
        <v>1</v>
      </c>
      <c r="D24" s="78">
        <v>1</v>
      </c>
      <c r="E24" s="79">
        <v>1</v>
      </c>
      <c r="F24" s="80" t="s">
        <v>828</v>
      </c>
      <c r="G24" s="80" t="s">
        <v>1251</v>
      </c>
      <c r="H24" s="80" t="s">
        <v>806</v>
      </c>
      <c r="I24" s="80" t="s">
        <v>894</v>
      </c>
      <c r="J24" s="81" t="str">
        <f t="shared" si="1"/>
        <v>Kurzschwert</v>
      </c>
      <c r="K24" s="82"/>
      <c r="M24" s="75"/>
    </row>
    <row r="25" spans="1:13" x14ac:dyDescent="0.2">
      <c r="A25" s="76" t="s">
        <v>815</v>
      </c>
      <c r="B25" s="77" t="s">
        <v>37</v>
      </c>
      <c r="C25" s="78">
        <v>31</v>
      </c>
      <c r="D25" s="78">
        <v>21</v>
      </c>
      <c r="E25" s="79">
        <v>1</v>
      </c>
      <c r="F25" s="80" t="s">
        <v>805</v>
      </c>
      <c r="G25" s="80" t="s">
        <v>811</v>
      </c>
      <c r="H25" s="80" t="s">
        <v>806</v>
      </c>
      <c r="I25" s="80" t="s">
        <v>894</v>
      </c>
      <c r="J25" s="81" t="str">
        <f t="shared" si="1"/>
        <v>Langschwert</v>
      </c>
      <c r="K25" s="82"/>
      <c r="M25" s="75"/>
    </row>
    <row r="26" spans="1:13" x14ac:dyDescent="0.2">
      <c r="A26" s="76" t="s">
        <v>838</v>
      </c>
      <c r="B26" s="77" t="s">
        <v>54</v>
      </c>
      <c r="C26" s="78">
        <v>1</v>
      </c>
      <c r="D26" s="78">
        <v>31</v>
      </c>
      <c r="E26" s="79">
        <v>1</v>
      </c>
      <c r="F26" s="80" t="s">
        <v>839</v>
      </c>
      <c r="G26" s="80" t="s">
        <v>1251</v>
      </c>
      <c r="H26" s="80" t="s">
        <v>806</v>
      </c>
      <c r="I26" s="80" t="s">
        <v>894</v>
      </c>
      <c r="J26" s="81" t="str">
        <f t="shared" si="1"/>
        <v>Magierstab</v>
      </c>
      <c r="K26" s="82"/>
    </row>
    <row r="27" spans="1:13" x14ac:dyDescent="0.2">
      <c r="A27" s="76" t="s">
        <v>840</v>
      </c>
      <c r="B27" s="77" t="s">
        <v>54</v>
      </c>
      <c r="C27" s="78">
        <v>31</v>
      </c>
      <c r="D27" s="78">
        <v>31</v>
      </c>
      <c r="E27" s="79">
        <v>1</v>
      </c>
      <c r="F27" s="80" t="s">
        <v>839</v>
      </c>
      <c r="G27" s="80" t="s">
        <v>811</v>
      </c>
      <c r="H27" s="80" t="s">
        <v>806</v>
      </c>
      <c r="I27" s="80" t="s">
        <v>894</v>
      </c>
      <c r="J27" s="81" t="str">
        <f t="shared" si="1"/>
        <v>Magierstecken</v>
      </c>
      <c r="K27" s="82"/>
    </row>
    <row r="28" spans="1:13" x14ac:dyDescent="0.2">
      <c r="A28" s="76" t="s">
        <v>824</v>
      </c>
      <c r="B28" s="77" t="s">
        <v>48</v>
      </c>
      <c r="C28" s="78">
        <v>61</v>
      </c>
      <c r="D28" s="78">
        <v>61</v>
      </c>
      <c r="E28" s="79">
        <v>1</v>
      </c>
      <c r="F28" s="80" t="s">
        <v>822</v>
      </c>
      <c r="G28" s="80" t="s">
        <v>825</v>
      </c>
      <c r="H28" s="80" t="s">
        <v>806</v>
      </c>
      <c r="I28" s="80"/>
      <c r="J28" s="81" t="str">
        <f t="shared" si="1"/>
        <v/>
      </c>
      <c r="K28" s="82"/>
    </row>
    <row r="29" spans="1:13" x14ac:dyDescent="0.2">
      <c r="A29" s="76" t="s">
        <v>826</v>
      </c>
      <c r="B29" s="77" t="s">
        <v>48</v>
      </c>
      <c r="C29" s="78">
        <v>31</v>
      </c>
      <c r="D29" s="78">
        <v>61</v>
      </c>
      <c r="E29" s="79">
        <v>1</v>
      </c>
      <c r="F29" s="80" t="s">
        <v>822</v>
      </c>
      <c r="G29" s="80" t="s">
        <v>808</v>
      </c>
      <c r="H29" s="80" t="s">
        <v>806</v>
      </c>
      <c r="I29" s="80"/>
      <c r="J29" s="81" t="str">
        <f t="shared" si="1"/>
        <v/>
      </c>
      <c r="K29" s="82"/>
    </row>
    <row r="30" spans="1:13" x14ac:dyDescent="0.2">
      <c r="A30" s="76" t="s">
        <v>835</v>
      </c>
      <c r="B30" s="77" t="s">
        <v>39</v>
      </c>
      <c r="C30" s="78">
        <v>1</v>
      </c>
      <c r="D30" s="78">
        <v>31</v>
      </c>
      <c r="E30" s="79">
        <v>1</v>
      </c>
      <c r="F30" s="80" t="s">
        <v>828</v>
      </c>
      <c r="G30" s="80" t="s">
        <v>818</v>
      </c>
      <c r="H30" s="80" t="s">
        <v>806</v>
      </c>
      <c r="I30" s="80" t="s">
        <v>894</v>
      </c>
      <c r="J30" s="81" t="str">
        <f t="shared" si="1"/>
        <v>Ochsenzunge</v>
      </c>
      <c r="K30" s="82"/>
    </row>
    <row r="31" spans="1:13" x14ac:dyDescent="0.2">
      <c r="A31" s="76" t="s">
        <v>844</v>
      </c>
      <c r="B31" s="77" t="s">
        <v>46</v>
      </c>
      <c r="C31" s="78">
        <v>91</v>
      </c>
      <c r="D31" s="78">
        <v>31</v>
      </c>
      <c r="E31" s="79">
        <v>1</v>
      </c>
      <c r="F31" s="80" t="s">
        <v>817</v>
      </c>
      <c r="G31" s="80" t="s">
        <v>845</v>
      </c>
      <c r="H31" s="80" t="s">
        <v>806</v>
      </c>
      <c r="I31" s="80" t="s">
        <v>894</v>
      </c>
      <c r="J31" s="81" t="str">
        <f t="shared" si="1"/>
        <v>Ogerhammer</v>
      </c>
      <c r="K31" s="82" t="s">
        <v>1056</v>
      </c>
      <c r="L31" s="90"/>
    </row>
    <row r="32" spans="1:13" x14ac:dyDescent="0.2">
      <c r="A32" s="76" t="s">
        <v>820</v>
      </c>
      <c r="B32" s="77" t="s">
        <v>53</v>
      </c>
      <c r="C32" s="78">
        <v>11</v>
      </c>
      <c r="D32" s="78">
        <v>51</v>
      </c>
      <c r="E32" s="79">
        <v>1</v>
      </c>
      <c r="F32" s="80" t="s">
        <v>817</v>
      </c>
      <c r="G32" s="80" t="s">
        <v>1251</v>
      </c>
      <c r="H32" s="80" t="s">
        <v>806</v>
      </c>
      <c r="I32" s="80" t="s">
        <v>894</v>
      </c>
      <c r="J32" s="81" t="str">
        <f t="shared" si="1"/>
        <v>Rapier</v>
      </c>
      <c r="K32" s="82"/>
    </row>
    <row r="33" spans="1:12" x14ac:dyDescent="0.2">
      <c r="A33" s="76" t="s">
        <v>1226</v>
      </c>
      <c r="B33" s="77" t="s">
        <v>55</v>
      </c>
      <c r="C33" s="78">
        <v>21</v>
      </c>
      <c r="D33" s="78">
        <v>1</v>
      </c>
      <c r="E33" s="79">
        <v>31</v>
      </c>
      <c r="F33" s="80" t="s">
        <v>822</v>
      </c>
      <c r="G33" s="80" t="s">
        <v>74</v>
      </c>
      <c r="H33" s="80" t="s">
        <v>806</v>
      </c>
      <c r="I33" s="80"/>
      <c r="J33" s="81" t="str">
        <f t="shared" si="1"/>
        <v/>
      </c>
      <c r="K33" s="82"/>
    </row>
    <row r="34" spans="1:12" x14ac:dyDescent="0.2">
      <c r="A34" s="84" t="s">
        <v>1227</v>
      </c>
      <c r="B34" s="77" t="s">
        <v>55</v>
      </c>
      <c r="C34" s="85">
        <v>31</v>
      </c>
      <c r="D34" s="85">
        <v>1</v>
      </c>
      <c r="E34" s="86">
        <v>31</v>
      </c>
      <c r="F34" s="80" t="s">
        <v>822</v>
      </c>
      <c r="G34" s="80" t="s">
        <v>853</v>
      </c>
      <c r="H34" s="80" t="s">
        <v>806</v>
      </c>
      <c r="I34" s="87"/>
      <c r="J34" s="88" t="str">
        <f t="shared" si="1"/>
        <v/>
      </c>
      <c r="K34" s="89"/>
    </row>
    <row r="35" spans="1:12" x14ac:dyDescent="0.2">
      <c r="A35" s="84" t="s">
        <v>1228</v>
      </c>
      <c r="B35" s="77" t="s">
        <v>55</v>
      </c>
      <c r="C35" s="85">
        <v>31</v>
      </c>
      <c r="D35" s="85">
        <v>1</v>
      </c>
      <c r="E35" s="86">
        <v>31</v>
      </c>
      <c r="F35" s="80" t="s">
        <v>822</v>
      </c>
      <c r="G35" s="80" t="s">
        <v>864</v>
      </c>
      <c r="H35" s="80" t="s">
        <v>806</v>
      </c>
      <c r="I35" s="87"/>
      <c r="J35" s="88" t="str">
        <f t="shared" si="1"/>
        <v/>
      </c>
      <c r="K35" s="89"/>
    </row>
    <row r="36" spans="1:12" x14ac:dyDescent="0.2">
      <c r="A36" s="84" t="s">
        <v>1229</v>
      </c>
      <c r="B36" s="77" t="s">
        <v>55</v>
      </c>
      <c r="C36" s="85">
        <v>61</v>
      </c>
      <c r="D36" s="85">
        <v>1</v>
      </c>
      <c r="E36" s="86">
        <v>61</v>
      </c>
      <c r="F36" s="80" t="s">
        <v>822</v>
      </c>
      <c r="G36" s="80" t="s">
        <v>808</v>
      </c>
      <c r="H36" s="80" t="s">
        <v>806</v>
      </c>
      <c r="I36" s="87"/>
      <c r="J36" s="88" t="str">
        <f t="shared" si="1"/>
        <v/>
      </c>
      <c r="K36" s="89"/>
    </row>
    <row r="37" spans="1:12" x14ac:dyDescent="0.2">
      <c r="A37" s="76" t="s">
        <v>846</v>
      </c>
      <c r="B37" s="77" t="s">
        <v>46</v>
      </c>
      <c r="C37" s="78">
        <v>61</v>
      </c>
      <c r="D37" s="78">
        <v>21</v>
      </c>
      <c r="E37" s="79">
        <v>1</v>
      </c>
      <c r="F37" s="80" t="s">
        <v>817</v>
      </c>
      <c r="G37" s="80" t="s">
        <v>847</v>
      </c>
      <c r="H37" s="80" t="s">
        <v>806</v>
      </c>
      <c r="I37" s="80" t="s">
        <v>894</v>
      </c>
      <c r="J37" s="81" t="str">
        <f t="shared" si="1"/>
        <v>Schlachtbeil</v>
      </c>
      <c r="K37" s="82" t="s">
        <v>1056</v>
      </c>
    </row>
    <row r="38" spans="1:12" x14ac:dyDescent="0.2">
      <c r="A38" s="76" t="s">
        <v>810</v>
      </c>
      <c r="B38" s="77" t="s">
        <v>38</v>
      </c>
      <c r="C38" s="78">
        <v>91</v>
      </c>
      <c r="D38" s="78">
        <v>21</v>
      </c>
      <c r="E38" s="79">
        <v>1</v>
      </c>
      <c r="F38" s="80" t="s">
        <v>805</v>
      </c>
      <c r="G38" s="80" t="s">
        <v>811</v>
      </c>
      <c r="H38" s="80" t="s">
        <v>806</v>
      </c>
      <c r="I38" s="80" t="s">
        <v>894</v>
      </c>
      <c r="J38" s="81"/>
      <c r="K38" s="82" t="s">
        <v>1056</v>
      </c>
    </row>
    <row r="39" spans="1:12" x14ac:dyDescent="0.2">
      <c r="A39" s="76" t="s">
        <v>830</v>
      </c>
      <c r="B39" s="77" t="s">
        <v>47</v>
      </c>
      <c r="C39" s="78">
        <v>1</v>
      </c>
      <c r="D39" s="78">
        <v>1</v>
      </c>
      <c r="E39" s="79">
        <v>1</v>
      </c>
      <c r="F39" s="80" t="s">
        <v>828</v>
      </c>
      <c r="G39" s="80" t="s">
        <v>808</v>
      </c>
      <c r="H39" s="80" t="s">
        <v>806</v>
      </c>
      <c r="I39" s="80" t="s">
        <v>894</v>
      </c>
      <c r="J39" s="81" t="str">
        <f>IF(I39="x",IF(ISERROR(FIND(",",A39)),A39,LEFT(A39,FIND(",",A39)-1)),"")</f>
        <v>Speer</v>
      </c>
      <c r="K39" s="82"/>
    </row>
    <row r="40" spans="1:12" x14ac:dyDescent="0.2">
      <c r="A40" s="76" t="s">
        <v>848</v>
      </c>
      <c r="B40" s="77" t="s">
        <v>46</v>
      </c>
      <c r="C40" s="78">
        <v>81</v>
      </c>
      <c r="D40" s="78">
        <v>1</v>
      </c>
      <c r="E40" s="79">
        <v>1</v>
      </c>
      <c r="F40" s="80" t="s">
        <v>817</v>
      </c>
      <c r="G40" s="80" t="s">
        <v>849</v>
      </c>
      <c r="H40" s="80" t="s">
        <v>806</v>
      </c>
      <c r="I40" s="80" t="s">
        <v>894</v>
      </c>
      <c r="J40" s="81" t="str">
        <f>IF(I40="x",IF(ISERROR(FIND(",",A40)),A40,LEFT(A40,FIND(",",A40)-1)),"")</f>
        <v>Stabkeule</v>
      </c>
      <c r="K40" s="82" t="s">
        <v>1056</v>
      </c>
    </row>
    <row r="41" spans="1:12" x14ac:dyDescent="0.2">
      <c r="A41" s="76" t="s">
        <v>850</v>
      </c>
      <c r="B41" s="77" t="s">
        <v>46</v>
      </c>
      <c r="C41" s="78">
        <v>81</v>
      </c>
      <c r="D41" s="78">
        <v>31</v>
      </c>
      <c r="E41" s="79">
        <v>1</v>
      </c>
      <c r="F41" s="80" t="s">
        <v>817</v>
      </c>
      <c r="G41" s="80" t="s">
        <v>1250</v>
      </c>
      <c r="H41" s="80" t="s">
        <v>806</v>
      </c>
      <c r="I41" s="80" t="s">
        <v>894</v>
      </c>
      <c r="J41" s="81" t="str">
        <f>IF(I41="x",IF(ISERROR(FIND(",",A41)),A41,LEFT(A41,FIND(",",A41)-1)),"")</f>
        <v>Stielhammer</v>
      </c>
      <c r="K41" s="82" t="s">
        <v>1056</v>
      </c>
    </row>
    <row r="42" spans="1:12" x14ac:dyDescent="0.2">
      <c r="A42" s="76" t="s">
        <v>831</v>
      </c>
      <c r="B42" s="77" t="s">
        <v>47</v>
      </c>
      <c r="C42" s="78">
        <v>81</v>
      </c>
      <c r="D42" s="78">
        <v>31</v>
      </c>
      <c r="E42" s="79">
        <v>1</v>
      </c>
      <c r="F42" s="80" t="s">
        <v>828</v>
      </c>
      <c r="G42" s="80" t="s">
        <v>1251</v>
      </c>
      <c r="H42" s="80" t="s">
        <v>806</v>
      </c>
      <c r="I42" s="80" t="s">
        <v>894</v>
      </c>
      <c r="J42" s="81"/>
      <c r="K42" s="82" t="s">
        <v>1056</v>
      </c>
    </row>
    <row r="43" spans="1:12" x14ac:dyDescent="0.2">
      <c r="A43" s="76" t="s">
        <v>832</v>
      </c>
      <c r="B43" s="77" t="s">
        <v>47</v>
      </c>
      <c r="C43" s="78">
        <v>31</v>
      </c>
      <c r="D43" s="78">
        <v>11</v>
      </c>
      <c r="E43" s="79">
        <v>1</v>
      </c>
      <c r="F43" s="80" t="s">
        <v>828</v>
      </c>
      <c r="G43" s="80" t="s">
        <v>1251</v>
      </c>
      <c r="H43" s="80" t="s">
        <v>806</v>
      </c>
      <c r="I43" s="80" t="s">
        <v>894</v>
      </c>
      <c r="J43" s="81" t="str">
        <f t="shared" ref="J43:J77" si="2">IF(I43="x",IF(ISERROR(FIND(",",A43)),A43,LEFT(A43,FIND(",",A43)-1)),"")</f>
        <v>Stoßspeer</v>
      </c>
      <c r="K43" s="82"/>
    </row>
    <row r="44" spans="1:12" x14ac:dyDescent="0.2">
      <c r="A44" s="76" t="s">
        <v>812</v>
      </c>
      <c r="B44" s="77" t="s">
        <v>38</v>
      </c>
      <c r="C44" s="78">
        <v>61</v>
      </c>
      <c r="D44" s="78">
        <v>11</v>
      </c>
      <c r="E44" s="79">
        <v>1</v>
      </c>
      <c r="F44" s="80" t="s">
        <v>805</v>
      </c>
      <c r="G44" s="80" t="s">
        <v>811</v>
      </c>
      <c r="H44" s="80" t="s">
        <v>806</v>
      </c>
      <c r="I44" s="80" t="s">
        <v>894</v>
      </c>
      <c r="J44" s="81" t="str">
        <f t="shared" si="2"/>
        <v>Streitaxt</v>
      </c>
      <c r="K44" s="82"/>
    </row>
    <row r="45" spans="1:12" ht="13.5" thickBot="1" x14ac:dyDescent="0.25">
      <c r="A45" s="91" t="s">
        <v>813</v>
      </c>
      <c r="B45" s="92" t="s">
        <v>38</v>
      </c>
      <c r="C45" s="93">
        <v>31</v>
      </c>
      <c r="D45" s="93">
        <v>1</v>
      </c>
      <c r="E45" s="94">
        <v>1</v>
      </c>
      <c r="F45" s="95" t="s">
        <v>805</v>
      </c>
      <c r="G45" s="95" t="s">
        <v>1251</v>
      </c>
      <c r="H45" s="95" t="s">
        <v>806</v>
      </c>
      <c r="I45" s="95" t="s">
        <v>894</v>
      </c>
      <c r="J45" s="96" t="str">
        <f t="shared" si="2"/>
        <v>Streitkolben</v>
      </c>
      <c r="K45" s="97"/>
    </row>
    <row r="46" spans="1:12" x14ac:dyDescent="0.2">
      <c r="A46" s="98" t="s">
        <v>923</v>
      </c>
      <c r="B46" s="99" t="s">
        <v>49</v>
      </c>
      <c r="C46" s="100">
        <v>1</v>
      </c>
      <c r="D46" s="100">
        <v>31</v>
      </c>
      <c r="E46" s="101">
        <v>1</v>
      </c>
      <c r="F46" s="102" t="s">
        <v>817</v>
      </c>
      <c r="G46" s="103" t="s">
        <v>1251</v>
      </c>
      <c r="H46" s="104" t="s">
        <v>873</v>
      </c>
      <c r="I46" s="104" t="s">
        <v>894</v>
      </c>
      <c r="J46" s="105" t="str">
        <f t="shared" si="2"/>
        <v>leichte Armbrust</v>
      </c>
      <c r="K46" s="106"/>
      <c r="L46" s="107"/>
    </row>
    <row r="47" spans="1:12" x14ac:dyDescent="0.2">
      <c r="A47" s="108" t="s">
        <v>924</v>
      </c>
      <c r="B47" s="109" t="s">
        <v>49</v>
      </c>
      <c r="C47" s="110">
        <v>61</v>
      </c>
      <c r="D47" s="110">
        <v>31</v>
      </c>
      <c r="E47" s="111">
        <v>1</v>
      </c>
      <c r="F47" s="112" t="s">
        <v>817</v>
      </c>
      <c r="G47" s="113" t="s">
        <v>823</v>
      </c>
      <c r="H47" s="114" t="s">
        <v>874</v>
      </c>
      <c r="I47" s="114" t="s">
        <v>894</v>
      </c>
      <c r="J47" s="115" t="str">
        <f t="shared" si="2"/>
        <v>schwere Armbrust</v>
      </c>
      <c r="K47" s="116" t="s">
        <v>1056</v>
      </c>
    </row>
    <row r="48" spans="1:12" x14ac:dyDescent="0.2">
      <c r="A48" s="108" t="s">
        <v>875</v>
      </c>
      <c r="B48" s="109" t="s">
        <v>49</v>
      </c>
      <c r="C48" s="110">
        <v>1</v>
      </c>
      <c r="D48" s="110">
        <v>31</v>
      </c>
      <c r="E48" s="111">
        <v>1</v>
      </c>
      <c r="F48" s="112" t="s">
        <v>817</v>
      </c>
      <c r="G48" s="113" t="s">
        <v>808</v>
      </c>
      <c r="H48" s="114" t="s">
        <v>869</v>
      </c>
      <c r="I48" s="114" t="s">
        <v>894</v>
      </c>
      <c r="J48" s="115" t="str">
        <f t="shared" si="2"/>
        <v>Handarmbrust</v>
      </c>
      <c r="K48" s="116"/>
    </row>
    <row r="49" spans="1:11" x14ac:dyDescent="0.2">
      <c r="A49" s="108" t="s">
        <v>925</v>
      </c>
      <c r="B49" s="109" t="s">
        <v>51</v>
      </c>
      <c r="C49" s="110">
        <v>1</v>
      </c>
      <c r="D49" s="110">
        <v>61</v>
      </c>
      <c r="E49" s="111">
        <v>1</v>
      </c>
      <c r="F49" s="112" t="s">
        <v>817</v>
      </c>
      <c r="G49" s="113" t="s">
        <v>68</v>
      </c>
      <c r="H49" s="114" t="s">
        <v>876</v>
      </c>
      <c r="I49" s="114" t="s">
        <v>894</v>
      </c>
      <c r="J49" s="115" t="str">
        <f t="shared" si="2"/>
        <v>kurzes Blasrohr</v>
      </c>
      <c r="K49" s="116"/>
    </row>
    <row r="50" spans="1:11" x14ac:dyDescent="0.2">
      <c r="A50" s="108" t="s">
        <v>926</v>
      </c>
      <c r="B50" s="109" t="s">
        <v>51</v>
      </c>
      <c r="C50" s="110">
        <v>1</v>
      </c>
      <c r="D50" s="110">
        <v>61</v>
      </c>
      <c r="E50" s="111">
        <v>1</v>
      </c>
      <c r="F50" s="112" t="s">
        <v>817</v>
      </c>
      <c r="G50" s="113" t="s">
        <v>68</v>
      </c>
      <c r="H50" s="114" t="s">
        <v>862</v>
      </c>
      <c r="I50" s="114" t="s">
        <v>894</v>
      </c>
      <c r="J50" s="115" t="str">
        <f t="shared" si="2"/>
        <v>langes Blasrohr</v>
      </c>
      <c r="K50" s="116"/>
    </row>
    <row r="51" spans="1:11" x14ac:dyDescent="0.2">
      <c r="A51" s="108" t="s">
        <v>877</v>
      </c>
      <c r="B51" s="109" t="s">
        <v>41</v>
      </c>
      <c r="C51" s="110">
        <v>31</v>
      </c>
      <c r="D51" s="110">
        <v>31</v>
      </c>
      <c r="E51" s="111">
        <v>1</v>
      </c>
      <c r="F51" s="112" t="s">
        <v>817</v>
      </c>
      <c r="G51" s="113" t="s">
        <v>1251</v>
      </c>
      <c r="H51" s="114" t="s">
        <v>878</v>
      </c>
      <c r="I51" s="114" t="s">
        <v>894</v>
      </c>
      <c r="J51" s="115" t="str">
        <f t="shared" si="2"/>
        <v>Bogen</v>
      </c>
      <c r="K51" s="116"/>
    </row>
    <row r="52" spans="1:11" x14ac:dyDescent="0.2">
      <c r="A52" s="108" t="s">
        <v>879</v>
      </c>
      <c r="B52" s="109" t="s">
        <v>41</v>
      </c>
      <c r="C52" s="110">
        <v>61</v>
      </c>
      <c r="D52" s="110">
        <v>61</v>
      </c>
      <c r="E52" s="111">
        <v>1</v>
      </c>
      <c r="F52" s="112" t="s">
        <v>817</v>
      </c>
      <c r="G52" s="113" t="s">
        <v>811</v>
      </c>
      <c r="H52" s="114" t="s">
        <v>880</v>
      </c>
      <c r="I52" s="114" t="s">
        <v>894</v>
      </c>
      <c r="J52" s="115" t="str">
        <f t="shared" si="2"/>
        <v>Kompositbogen</v>
      </c>
      <c r="K52" s="116" t="s">
        <v>1056</v>
      </c>
    </row>
    <row r="53" spans="1:11" x14ac:dyDescent="0.2">
      <c r="A53" s="108" t="s">
        <v>881</v>
      </c>
      <c r="B53" s="109" t="s">
        <v>41</v>
      </c>
      <c r="C53" s="110">
        <v>11</v>
      </c>
      <c r="D53" s="110">
        <v>31</v>
      </c>
      <c r="E53" s="111">
        <v>1</v>
      </c>
      <c r="F53" s="112" t="s">
        <v>817</v>
      </c>
      <c r="G53" s="113" t="s">
        <v>808</v>
      </c>
      <c r="H53" s="114" t="s">
        <v>882</v>
      </c>
      <c r="I53" s="114" t="s">
        <v>894</v>
      </c>
      <c r="J53" s="115" t="str">
        <f t="shared" si="2"/>
        <v>Kurzbogen</v>
      </c>
      <c r="K53" s="116"/>
    </row>
    <row r="54" spans="1:11" x14ac:dyDescent="0.2">
      <c r="A54" s="108" t="s">
        <v>883</v>
      </c>
      <c r="B54" s="109" t="s">
        <v>41</v>
      </c>
      <c r="C54" s="110">
        <v>61</v>
      </c>
      <c r="D54" s="110">
        <v>61</v>
      </c>
      <c r="E54" s="111">
        <v>1</v>
      </c>
      <c r="F54" s="112" t="s">
        <v>817</v>
      </c>
      <c r="G54" s="113" t="s">
        <v>811</v>
      </c>
      <c r="H54" s="114" t="s">
        <v>880</v>
      </c>
      <c r="I54" s="114" t="s">
        <v>894</v>
      </c>
      <c r="J54" s="115" t="str">
        <f t="shared" si="2"/>
        <v>Langbogen</v>
      </c>
      <c r="K54" s="116" t="s">
        <v>1056</v>
      </c>
    </row>
    <row r="55" spans="1:11" x14ac:dyDescent="0.2">
      <c r="A55" s="412" t="s">
        <v>1699</v>
      </c>
      <c r="B55" s="109" t="s">
        <v>41</v>
      </c>
      <c r="C55" s="110">
        <v>81</v>
      </c>
      <c r="D55" s="110">
        <v>61</v>
      </c>
      <c r="E55" s="111">
        <v>1</v>
      </c>
      <c r="F55" s="112" t="s">
        <v>817</v>
      </c>
      <c r="G55" s="413" t="s">
        <v>825</v>
      </c>
      <c r="H55" s="114" t="s">
        <v>880</v>
      </c>
      <c r="I55" s="114" t="s">
        <v>894</v>
      </c>
      <c r="J55" s="115" t="str">
        <f t="shared" si="2"/>
        <v>Langbogen</v>
      </c>
      <c r="K55" s="116" t="s">
        <v>1056</v>
      </c>
    </row>
    <row r="56" spans="1:11" x14ac:dyDescent="0.2">
      <c r="A56" s="412" t="s">
        <v>1700</v>
      </c>
      <c r="B56" s="109" t="s">
        <v>41</v>
      </c>
      <c r="C56" s="110">
        <v>96</v>
      </c>
      <c r="D56" s="110">
        <v>61</v>
      </c>
      <c r="E56" s="111">
        <v>1</v>
      </c>
      <c r="F56" s="112" t="s">
        <v>817</v>
      </c>
      <c r="G56" s="413" t="s">
        <v>847</v>
      </c>
      <c r="H56" s="114" t="s">
        <v>880</v>
      </c>
      <c r="I56" s="114" t="s">
        <v>894</v>
      </c>
      <c r="J56" s="115" t="str">
        <f t="shared" si="2"/>
        <v>Langbogen</v>
      </c>
      <c r="K56" s="116" t="s">
        <v>1056</v>
      </c>
    </row>
    <row r="57" spans="1:11" x14ac:dyDescent="0.2">
      <c r="A57" s="108" t="s">
        <v>884</v>
      </c>
      <c r="B57" s="109" t="s">
        <v>56</v>
      </c>
      <c r="C57" s="110">
        <v>1</v>
      </c>
      <c r="D57" s="110">
        <v>61</v>
      </c>
      <c r="E57" s="111">
        <v>1</v>
      </c>
      <c r="F57" s="112" t="s">
        <v>817</v>
      </c>
      <c r="G57" s="113" t="s">
        <v>1251</v>
      </c>
      <c r="H57" s="114" t="s">
        <v>885</v>
      </c>
      <c r="I57" s="114" t="s">
        <v>894</v>
      </c>
      <c r="J57" s="115" t="str">
        <f t="shared" si="2"/>
        <v>Schleuder</v>
      </c>
      <c r="K57" s="116"/>
    </row>
    <row r="58" spans="1:11" x14ac:dyDescent="0.2">
      <c r="A58" s="108" t="s">
        <v>886</v>
      </c>
      <c r="B58" s="109" t="s">
        <v>56</v>
      </c>
      <c r="C58" s="110">
        <v>31</v>
      </c>
      <c r="D58" s="110">
        <v>81</v>
      </c>
      <c r="E58" s="111">
        <v>1</v>
      </c>
      <c r="F58" s="112" t="s">
        <v>817</v>
      </c>
      <c r="G58" s="113" t="s">
        <v>849</v>
      </c>
      <c r="H58" s="114" t="s">
        <v>887</v>
      </c>
      <c r="I58" s="114" t="s">
        <v>894</v>
      </c>
      <c r="J58" s="115" t="str">
        <f t="shared" si="2"/>
        <v>Stockschleuder</v>
      </c>
      <c r="K58" s="116" t="s">
        <v>1056</v>
      </c>
    </row>
    <row r="59" spans="1:11" x14ac:dyDescent="0.2">
      <c r="A59" s="108" t="s">
        <v>855</v>
      </c>
      <c r="B59" s="109" t="s">
        <v>43</v>
      </c>
      <c r="C59" s="110">
        <v>31</v>
      </c>
      <c r="D59" s="110">
        <v>31</v>
      </c>
      <c r="E59" s="111">
        <v>1</v>
      </c>
      <c r="F59" s="112" t="s">
        <v>805</v>
      </c>
      <c r="G59" s="113" t="s">
        <v>1251</v>
      </c>
      <c r="H59" s="114" t="s">
        <v>856</v>
      </c>
      <c r="I59" s="114" t="s">
        <v>894</v>
      </c>
      <c r="J59" s="115" t="str">
        <f t="shared" si="2"/>
        <v>Wurfaxt</v>
      </c>
      <c r="K59" s="116"/>
    </row>
    <row r="60" spans="1:11" x14ac:dyDescent="0.2">
      <c r="A60" s="108" t="s">
        <v>857</v>
      </c>
      <c r="B60" s="109" t="s">
        <v>43</v>
      </c>
      <c r="C60" s="110">
        <v>61</v>
      </c>
      <c r="D60" s="110">
        <v>61</v>
      </c>
      <c r="E60" s="111">
        <v>1</v>
      </c>
      <c r="F60" s="112" t="s">
        <v>805</v>
      </c>
      <c r="G60" s="113" t="s">
        <v>1251</v>
      </c>
      <c r="H60" s="114" t="s">
        <v>858</v>
      </c>
      <c r="I60" s="114" t="s">
        <v>894</v>
      </c>
      <c r="J60" s="115" t="str">
        <f t="shared" si="2"/>
        <v>Wurfeisen</v>
      </c>
      <c r="K60" s="116"/>
    </row>
    <row r="61" spans="1:11" x14ac:dyDescent="0.2">
      <c r="A61" s="108" t="s">
        <v>859</v>
      </c>
      <c r="B61" s="109" t="s">
        <v>43</v>
      </c>
      <c r="C61" s="110">
        <v>61</v>
      </c>
      <c r="D61" s="110">
        <v>31</v>
      </c>
      <c r="E61" s="111">
        <v>1</v>
      </c>
      <c r="F61" s="112" t="s">
        <v>805</v>
      </c>
      <c r="G61" s="113" t="s">
        <v>1251</v>
      </c>
      <c r="H61" s="114" t="s">
        <v>856</v>
      </c>
      <c r="I61" s="114" t="s">
        <v>894</v>
      </c>
      <c r="J61" s="115" t="str">
        <f t="shared" si="2"/>
        <v>Wurfhammer</v>
      </c>
      <c r="K61" s="116"/>
    </row>
    <row r="62" spans="1:11" x14ac:dyDescent="0.2">
      <c r="A62" s="108" t="s">
        <v>860</v>
      </c>
      <c r="B62" s="109" t="s">
        <v>43</v>
      </c>
      <c r="C62" s="110">
        <v>31</v>
      </c>
      <c r="D62" s="110">
        <v>31</v>
      </c>
      <c r="E62" s="111">
        <v>1</v>
      </c>
      <c r="F62" s="112" t="s">
        <v>805</v>
      </c>
      <c r="G62" s="113" t="s">
        <v>808</v>
      </c>
      <c r="H62" s="114" t="s">
        <v>858</v>
      </c>
      <c r="I62" s="114" t="s">
        <v>894</v>
      </c>
      <c r="J62" s="115" t="str">
        <f t="shared" si="2"/>
        <v>Wurfkeule</v>
      </c>
      <c r="K62" s="116"/>
    </row>
    <row r="63" spans="1:11" x14ac:dyDescent="0.2">
      <c r="A63" s="108" t="s">
        <v>861</v>
      </c>
      <c r="B63" s="109" t="s">
        <v>42</v>
      </c>
      <c r="C63" s="110">
        <v>1</v>
      </c>
      <c r="D63" s="110">
        <v>61</v>
      </c>
      <c r="E63" s="111">
        <v>1</v>
      </c>
      <c r="F63" s="112" t="s">
        <v>805</v>
      </c>
      <c r="G63" s="113" t="s">
        <v>808</v>
      </c>
      <c r="H63" s="114" t="s">
        <v>862</v>
      </c>
      <c r="I63" s="114" t="s">
        <v>894</v>
      </c>
      <c r="J63" s="115" t="str">
        <f t="shared" si="2"/>
        <v>Wurfmesser</v>
      </c>
      <c r="K63" s="116"/>
    </row>
    <row r="64" spans="1:11" x14ac:dyDescent="0.2">
      <c r="A64" s="108" t="s">
        <v>863</v>
      </c>
      <c r="B64" s="109" t="s">
        <v>42</v>
      </c>
      <c r="C64" s="110">
        <v>11</v>
      </c>
      <c r="D64" s="110">
        <v>31</v>
      </c>
      <c r="E64" s="111">
        <v>1</v>
      </c>
      <c r="F64" s="112" t="s">
        <v>805</v>
      </c>
      <c r="G64" s="113" t="s">
        <v>864</v>
      </c>
      <c r="H64" s="114" t="s">
        <v>856</v>
      </c>
      <c r="I64" s="114" t="s">
        <v>894</v>
      </c>
      <c r="J64" s="115" t="str">
        <f t="shared" si="2"/>
        <v>Wurfpfeil</v>
      </c>
      <c r="K64" s="116"/>
    </row>
    <row r="65" spans="1:11" x14ac:dyDescent="0.2">
      <c r="A65" s="108" t="s">
        <v>865</v>
      </c>
      <c r="B65" s="109" t="s">
        <v>865</v>
      </c>
      <c r="C65" s="110">
        <v>61</v>
      </c>
      <c r="D65" s="110">
        <v>61</v>
      </c>
      <c r="E65" s="111">
        <v>1</v>
      </c>
      <c r="F65" s="112" t="s">
        <v>817</v>
      </c>
      <c r="G65" s="113" t="s">
        <v>864</v>
      </c>
      <c r="H65" s="114" t="s">
        <v>856</v>
      </c>
      <c r="I65" s="114" t="s">
        <v>894</v>
      </c>
      <c r="J65" s="115" t="str">
        <f t="shared" si="2"/>
        <v>Wurfscheibe</v>
      </c>
      <c r="K65" s="116"/>
    </row>
    <row r="66" spans="1:11" x14ac:dyDescent="0.2">
      <c r="A66" s="108" t="s">
        <v>866</v>
      </c>
      <c r="B66" s="109" t="s">
        <v>865</v>
      </c>
      <c r="C66" s="110">
        <v>1</v>
      </c>
      <c r="D66" s="110">
        <v>61</v>
      </c>
      <c r="E66" s="111">
        <v>1</v>
      </c>
      <c r="F66" s="112" t="s">
        <v>817</v>
      </c>
      <c r="G66" s="113" t="s">
        <v>853</v>
      </c>
      <c r="H66" s="114" t="s">
        <v>867</v>
      </c>
      <c r="I66" s="114" t="s">
        <v>894</v>
      </c>
      <c r="J66" s="115" t="str">
        <f t="shared" si="2"/>
        <v>Wurfstern</v>
      </c>
      <c r="K66" s="116"/>
    </row>
    <row r="67" spans="1:11" x14ac:dyDescent="0.2">
      <c r="A67" s="108" t="s">
        <v>868</v>
      </c>
      <c r="B67" s="109" t="s">
        <v>57</v>
      </c>
      <c r="C67" s="110">
        <v>31</v>
      </c>
      <c r="D67" s="110">
        <v>61</v>
      </c>
      <c r="E67" s="111">
        <v>1</v>
      </c>
      <c r="F67" s="112" t="s">
        <v>805</v>
      </c>
      <c r="G67" s="113" t="s">
        <v>1251</v>
      </c>
      <c r="H67" s="114" t="s">
        <v>869</v>
      </c>
      <c r="I67" s="114" t="s">
        <v>894</v>
      </c>
      <c r="J67" s="115" t="str">
        <f t="shared" si="2"/>
        <v>Speerschleuder</v>
      </c>
      <c r="K67" s="116"/>
    </row>
    <row r="68" spans="1:11" x14ac:dyDescent="0.2">
      <c r="A68" s="108" t="s">
        <v>870</v>
      </c>
      <c r="B68" s="109" t="s">
        <v>57</v>
      </c>
      <c r="C68" s="110">
        <v>31</v>
      </c>
      <c r="D68" s="110">
        <v>21</v>
      </c>
      <c r="E68" s="111">
        <v>1</v>
      </c>
      <c r="F68" s="112" t="s">
        <v>805</v>
      </c>
      <c r="G68" s="113" t="s">
        <v>808</v>
      </c>
      <c r="H68" s="114" t="s">
        <v>871</v>
      </c>
      <c r="I68" s="114" t="s">
        <v>894</v>
      </c>
      <c r="J68" s="115" t="str">
        <f t="shared" si="2"/>
        <v>Wurfspeer</v>
      </c>
      <c r="K68" s="116"/>
    </row>
    <row r="69" spans="1:11" ht="13.5" thickBot="1" x14ac:dyDescent="0.25">
      <c r="A69" s="117" t="s">
        <v>872</v>
      </c>
      <c r="B69" s="118" t="s">
        <v>57</v>
      </c>
      <c r="C69" s="119">
        <v>61</v>
      </c>
      <c r="D69" s="119">
        <v>21</v>
      </c>
      <c r="E69" s="120">
        <v>1</v>
      </c>
      <c r="F69" s="121" t="s">
        <v>805</v>
      </c>
      <c r="G69" s="122" t="s">
        <v>1251</v>
      </c>
      <c r="H69" s="123" t="s">
        <v>856</v>
      </c>
      <c r="I69" s="123" t="s">
        <v>894</v>
      </c>
      <c r="J69" s="124" t="str">
        <f t="shared" si="2"/>
        <v>Wurfspieß</v>
      </c>
      <c r="K69" s="125"/>
    </row>
    <row r="70" spans="1:11" x14ac:dyDescent="0.2">
      <c r="A70" s="341" t="s">
        <v>1289</v>
      </c>
      <c r="B70" s="342" t="s">
        <v>44</v>
      </c>
      <c r="C70" s="343">
        <v>31</v>
      </c>
      <c r="D70" s="343">
        <v>61</v>
      </c>
      <c r="E70" s="344">
        <v>2</v>
      </c>
      <c r="F70" s="345" t="s">
        <v>805</v>
      </c>
      <c r="G70" s="349" t="s">
        <v>818</v>
      </c>
      <c r="H70" s="346" t="s">
        <v>806</v>
      </c>
      <c r="I70" s="346" t="s">
        <v>1290</v>
      </c>
      <c r="J70" s="347" t="str">
        <f t="shared" si="2"/>
        <v/>
      </c>
      <c r="K70" s="348"/>
    </row>
    <row r="71" spans="1:11" x14ac:dyDescent="0.2">
      <c r="A71" s="126" t="s">
        <v>854</v>
      </c>
      <c r="B71" s="127" t="s">
        <v>44</v>
      </c>
      <c r="C71" s="128">
        <v>31</v>
      </c>
      <c r="D71" s="128">
        <v>61</v>
      </c>
      <c r="E71" s="129">
        <v>1</v>
      </c>
      <c r="F71" s="130" t="s">
        <v>805</v>
      </c>
      <c r="G71" s="130" t="s">
        <v>853</v>
      </c>
      <c r="H71" s="130" t="s">
        <v>806</v>
      </c>
      <c r="I71" s="130">
        <v>-2</v>
      </c>
      <c r="J71" s="131" t="str">
        <f>IF(I71="x",IF(ISERROR(FIND(",",A71)),A71,LEFT(A71,FIND(",",A71)-1)),"")</f>
        <v/>
      </c>
      <c r="K71" s="132"/>
    </row>
    <row r="72" spans="1:11" x14ac:dyDescent="0.2">
      <c r="A72" s="126" t="s">
        <v>89</v>
      </c>
      <c r="B72" s="127" t="s">
        <v>44</v>
      </c>
      <c r="C72" s="128">
        <v>1</v>
      </c>
      <c r="D72" s="128">
        <v>61</v>
      </c>
      <c r="E72" s="129">
        <v>1</v>
      </c>
      <c r="F72" s="130" t="s">
        <v>805</v>
      </c>
      <c r="G72" s="130" t="s">
        <v>808</v>
      </c>
      <c r="H72" s="130" t="s">
        <v>806</v>
      </c>
      <c r="I72" s="130">
        <v>-2</v>
      </c>
      <c r="J72" s="131" t="str">
        <f>IF(I72="x",IF(ISERROR(FIND(",",A72)),A72,LEFT(A72,FIND(",",A72)-1)),"")</f>
        <v/>
      </c>
      <c r="K72" s="132"/>
    </row>
    <row r="73" spans="1:11" x14ac:dyDescent="0.2">
      <c r="A73" s="133" t="s">
        <v>852</v>
      </c>
      <c r="B73" s="134" t="s">
        <v>52</v>
      </c>
      <c r="C73" s="135">
        <v>1</v>
      </c>
      <c r="D73" s="135">
        <v>61</v>
      </c>
      <c r="E73" s="136">
        <v>1</v>
      </c>
      <c r="F73" s="137" t="s">
        <v>828</v>
      </c>
      <c r="G73" s="137" t="s">
        <v>853</v>
      </c>
      <c r="H73" s="137" t="s">
        <v>806</v>
      </c>
      <c r="I73" s="137">
        <v>-2</v>
      </c>
      <c r="J73" s="138" t="str">
        <f>IF(I73="x",IF(ISERROR(FIND(",",A73)),A73,LEFT(A73,FIND(",",A73)-1)),"")</f>
        <v/>
      </c>
      <c r="K73" s="139"/>
    </row>
    <row r="74" spans="1:11" x14ac:dyDescent="0.2">
      <c r="A74" s="126" t="s">
        <v>1211</v>
      </c>
      <c r="B74" s="127" t="s">
        <v>52</v>
      </c>
      <c r="C74" s="128">
        <v>61</v>
      </c>
      <c r="D74" s="128">
        <v>1</v>
      </c>
      <c r="E74" s="129">
        <v>1</v>
      </c>
      <c r="F74" s="130" t="s">
        <v>828</v>
      </c>
      <c r="G74" s="130" t="s">
        <v>75</v>
      </c>
      <c r="H74" s="130" t="s">
        <v>806</v>
      </c>
      <c r="I74" s="130">
        <v>0</v>
      </c>
      <c r="J74" s="131" t="str">
        <f t="shared" si="2"/>
        <v/>
      </c>
      <c r="K74" s="132"/>
    </row>
    <row r="75" spans="1:11" ht="13.5" thickBot="1" x14ac:dyDescent="0.25">
      <c r="A75" s="140" t="s">
        <v>1212</v>
      </c>
      <c r="B75" s="141" t="s">
        <v>52</v>
      </c>
      <c r="C75" s="142">
        <v>31</v>
      </c>
      <c r="D75" s="142">
        <v>11</v>
      </c>
      <c r="E75" s="143">
        <v>1</v>
      </c>
      <c r="F75" s="144" t="s">
        <v>828</v>
      </c>
      <c r="G75" s="144" t="s">
        <v>75</v>
      </c>
      <c r="H75" s="144" t="s">
        <v>806</v>
      </c>
      <c r="I75" s="144">
        <v>-1</v>
      </c>
      <c r="J75" s="145" t="str">
        <f t="shared" si="2"/>
        <v/>
      </c>
      <c r="K75" s="146"/>
    </row>
    <row r="76" spans="1:11" ht="13.5" thickTop="1" x14ac:dyDescent="0.2">
      <c r="A76" s="147" t="s">
        <v>837</v>
      </c>
      <c r="B76" s="148" t="s">
        <v>40</v>
      </c>
      <c r="C76" s="149">
        <v>31</v>
      </c>
      <c r="D76" s="149">
        <v>61</v>
      </c>
      <c r="E76" s="150">
        <v>1</v>
      </c>
      <c r="F76" s="151" t="s">
        <v>822</v>
      </c>
      <c r="G76" s="151" t="s">
        <v>1251</v>
      </c>
      <c r="H76" s="151" t="s">
        <v>806</v>
      </c>
      <c r="I76" s="151">
        <v>0</v>
      </c>
      <c r="J76" s="152" t="str">
        <f t="shared" si="2"/>
        <v/>
      </c>
      <c r="K76" s="153" t="s">
        <v>1056</v>
      </c>
    </row>
    <row r="77" spans="1:11" x14ac:dyDescent="0.2">
      <c r="A77" s="147" t="s">
        <v>836</v>
      </c>
      <c r="B77" s="148" t="s">
        <v>40</v>
      </c>
      <c r="C77" s="149">
        <v>21</v>
      </c>
      <c r="D77" s="149">
        <v>61</v>
      </c>
      <c r="E77" s="150">
        <v>1</v>
      </c>
      <c r="F77" s="151" t="s">
        <v>822</v>
      </c>
      <c r="G77" s="151" t="s">
        <v>1251</v>
      </c>
      <c r="H77" s="151" t="s">
        <v>806</v>
      </c>
      <c r="I77" s="151">
        <v>0</v>
      </c>
      <c r="J77" s="152" t="str">
        <f t="shared" si="2"/>
        <v/>
      </c>
      <c r="K77" s="153" t="s">
        <v>1056</v>
      </c>
    </row>
    <row r="78" spans="1:11" x14ac:dyDescent="0.2">
      <c r="G78" s="155"/>
    </row>
    <row r="79" spans="1:11" x14ac:dyDescent="0.2">
      <c r="G79" s="155"/>
    </row>
    <row r="80" spans="1:11" x14ac:dyDescent="0.2">
      <c r="G80" s="155"/>
    </row>
    <row r="81" spans="7:7" x14ac:dyDescent="0.2">
      <c r="G81" s="155"/>
    </row>
    <row r="82" spans="7:7" x14ac:dyDescent="0.2">
      <c r="G82" s="155"/>
    </row>
    <row r="83" spans="7:7" x14ac:dyDescent="0.2">
      <c r="G83" s="155"/>
    </row>
    <row r="84" spans="7:7" x14ac:dyDescent="0.2">
      <c r="G84" s="155"/>
    </row>
    <row r="85" spans="7:7" x14ac:dyDescent="0.2">
      <c r="G85" s="155"/>
    </row>
    <row r="86" spans="7:7" x14ac:dyDescent="0.2">
      <c r="G86" s="155"/>
    </row>
    <row r="87" spans="7:7" x14ac:dyDescent="0.2">
      <c r="G87" s="155"/>
    </row>
    <row r="88" spans="7:7" x14ac:dyDescent="0.2">
      <c r="G88" s="155"/>
    </row>
    <row r="89" spans="7:7" x14ac:dyDescent="0.2">
      <c r="G89" s="155"/>
    </row>
    <row r="90" spans="7:7" x14ac:dyDescent="0.2">
      <c r="G90" s="155"/>
    </row>
    <row r="91" spans="7:7" x14ac:dyDescent="0.2">
      <c r="G91" s="155"/>
    </row>
    <row r="92" spans="7:7" x14ac:dyDescent="0.2">
      <c r="G92" s="155"/>
    </row>
  </sheetData>
  <sheetProtection password="D5DE" sheet="1" objects="1" scenarios="1" selectLockedCells="1" selectUnlockedCells="1"/>
  <sortState ref="A40:K61">
    <sortCondition ref="B40:B61"/>
  </sortState>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tabColor rgb="FF92D050"/>
  </sheetPr>
  <dimension ref="A1:AB122"/>
  <sheetViews>
    <sheetView zoomScaleNormal="100" workbookViewId="0">
      <selection activeCell="H16" sqref="H16"/>
    </sheetView>
  </sheetViews>
  <sheetFormatPr baseColWidth="10" defaultRowHeight="12.75" x14ac:dyDescent="0.2"/>
  <cols>
    <col min="1" max="1" width="22" style="167" bestFit="1" customWidth="1"/>
    <col min="2" max="2" width="5.7109375" style="167" customWidth="1"/>
    <col min="3" max="3" width="20.7109375" style="167" bestFit="1" customWidth="1"/>
    <col min="4" max="4" width="15" style="190" bestFit="1" customWidth="1"/>
    <col min="5" max="5" width="8.42578125" style="167" bestFit="1" customWidth="1"/>
    <col min="6" max="6" width="56.5703125" style="167" bestFit="1" customWidth="1"/>
    <col min="7" max="7" width="17.42578125" style="167" bestFit="1" customWidth="1"/>
    <col min="8" max="8" width="5.7109375" style="167" customWidth="1"/>
    <col min="9" max="9" width="19.5703125" style="167" customWidth="1"/>
    <col min="10" max="10" width="26.5703125" style="167" bestFit="1" customWidth="1"/>
    <col min="11" max="11" width="12.85546875" style="167" bestFit="1" customWidth="1"/>
    <col min="12" max="12" width="10.140625" style="167" bestFit="1" customWidth="1"/>
    <col min="13" max="13" width="26.140625" style="167" bestFit="1" customWidth="1"/>
    <col min="14" max="14" width="6.28515625" style="167" bestFit="1" customWidth="1"/>
    <col min="15" max="15" width="18.140625" style="167" bestFit="1" customWidth="1"/>
    <col min="16" max="17" width="19.7109375" style="167" bestFit="1" customWidth="1"/>
    <col min="18" max="18" width="9" style="167" customWidth="1"/>
    <col min="19" max="19" width="6.85546875" style="167" customWidth="1"/>
    <col min="20" max="20" width="7.140625" style="167" customWidth="1"/>
    <col min="21" max="21" width="6.7109375" style="167" customWidth="1"/>
    <col min="22" max="22" width="9.7109375" style="167" customWidth="1"/>
    <col min="23" max="23" width="7.42578125" style="167" customWidth="1"/>
    <col min="24" max="24" width="72" style="167" bestFit="1" customWidth="1"/>
    <col min="25" max="25" width="7.42578125" style="167" bestFit="1" customWidth="1"/>
    <col min="26" max="26" width="7.28515625" style="167" bestFit="1" customWidth="1"/>
    <col min="27" max="27" width="42.140625" style="167" bestFit="1" customWidth="1"/>
    <col min="28" max="28" width="37.28515625" style="167" bestFit="1" customWidth="1"/>
    <col min="29" max="16384" width="11.42578125" style="167"/>
  </cols>
  <sheetData>
    <row r="1" spans="1:28" x14ac:dyDescent="0.2">
      <c r="A1" s="166" t="s">
        <v>71</v>
      </c>
      <c r="C1" s="168" t="s">
        <v>1168</v>
      </c>
      <c r="D1" s="169" t="s">
        <v>1169</v>
      </c>
      <c r="F1" s="170" t="s">
        <v>949</v>
      </c>
      <c r="G1" s="171"/>
      <c r="I1" s="170" t="s">
        <v>958</v>
      </c>
      <c r="J1" s="172"/>
      <c r="K1" s="171"/>
      <c r="O1" s="352" t="s">
        <v>1076</v>
      </c>
      <c r="P1" s="353" t="s">
        <v>1064</v>
      </c>
      <c r="Q1" s="353" t="s">
        <v>1065</v>
      </c>
      <c r="R1" s="353" t="s">
        <v>1066</v>
      </c>
      <c r="S1" s="353" t="s">
        <v>1067</v>
      </c>
      <c r="T1" s="353" t="s">
        <v>216</v>
      </c>
      <c r="U1" s="353" t="s">
        <v>1068</v>
      </c>
      <c r="V1" s="353" t="s">
        <v>1069</v>
      </c>
      <c r="W1" s="353" t="s">
        <v>1070</v>
      </c>
      <c r="X1" s="354" t="s">
        <v>1063</v>
      </c>
      <c r="Y1" s="353" t="s">
        <v>153</v>
      </c>
      <c r="Z1" s="353" t="s">
        <v>287</v>
      </c>
      <c r="AA1" s="354" t="s">
        <v>1075</v>
      </c>
      <c r="AB1" s="354" t="s">
        <v>1072</v>
      </c>
    </row>
    <row r="2" spans="1:28" x14ac:dyDescent="0.2">
      <c r="A2" s="174" t="s">
        <v>49</v>
      </c>
      <c r="C2" s="175" t="s">
        <v>4</v>
      </c>
      <c r="D2" s="175" t="s">
        <v>4</v>
      </c>
      <c r="F2" s="176" t="s">
        <v>911</v>
      </c>
      <c r="G2" s="177" t="s">
        <v>903</v>
      </c>
      <c r="I2" s="178" t="s">
        <v>959</v>
      </c>
      <c r="J2" s="179"/>
      <c r="K2" s="177"/>
      <c r="O2" s="180" t="s">
        <v>272</v>
      </c>
      <c r="P2" s="181">
        <v>1</v>
      </c>
      <c r="Q2" s="181" t="s">
        <v>75</v>
      </c>
      <c r="R2" s="181">
        <v>2</v>
      </c>
      <c r="S2" s="181" t="s">
        <v>75</v>
      </c>
      <c r="T2" s="181" t="s">
        <v>75</v>
      </c>
      <c r="U2" s="181">
        <v>4</v>
      </c>
      <c r="V2" s="181">
        <v>8</v>
      </c>
      <c r="W2" s="181" t="s">
        <v>75</v>
      </c>
      <c r="X2" s="182" t="s">
        <v>1077</v>
      </c>
      <c r="Y2" s="181">
        <v>24</v>
      </c>
      <c r="Z2" s="181" t="s">
        <v>75</v>
      </c>
      <c r="AA2" s="182" t="s">
        <v>75</v>
      </c>
      <c r="AB2" s="180"/>
    </row>
    <row r="3" spans="1:28" x14ac:dyDescent="0.2">
      <c r="A3" s="174" t="s">
        <v>51</v>
      </c>
      <c r="C3" s="175" t="s">
        <v>211</v>
      </c>
      <c r="D3" s="175" t="s">
        <v>1139</v>
      </c>
      <c r="F3" s="176" t="s">
        <v>908</v>
      </c>
      <c r="G3" s="177" t="s">
        <v>904</v>
      </c>
      <c r="I3" s="183" t="s">
        <v>929</v>
      </c>
      <c r="J3" s="183" t="s">
        <v>937</v>
      </c>
      <c r="K3" s="184" t="s">
        <v>951</v>
      </c>
      <c r="O3" s="175" t="s">
        <v>189</v>
      </c>
      <c r="P3" s="185">
        <v>2</v>
      </c>
      <c r="Q3" s="185">
        <v>4</v>
      </c>
      <c r="R3" s="185" t="s">
        <v>75</v>
      </c>
      <c r="S3" s="185">
        <v>1</v>
      </c>
      <c r="T3" s="185">
        <v>2</v>
      </c>
      <c r="U3" s="185" t="s">
        <v>75</v>
      </c>
      <c r="V3" s="185"/>
      <c r="W3" s="185" t="s">
        <v>75</v>
      </c>
      <c r="X3" s="186" t="s">
        <v>1078</v>
      </c>
      <c r="Y3" s="185">
        <v>24</v>
      </c>
      <c r="Z3" s="185" t="s">
        <v>75</v>
      </c>
      <c r="AA3" s="186" t="s">
        <v>75</v>
      </c>
      <c r="AB3" s="175"/>
    </row>
    <row r="4" spans="1:28" x14ac:dyDescent="0.2">
      <c r="A4" s="174" t="s">
        <v>41</v>
      </c>
      <c r="C4" s="175" t="s">
        <v>901</v>
      </c>
      <c r="D4" s="175" t="s">
        <v>1140</v>
      </c>
      <c r="F4" s="176" t="s">
        <v>905</v>
      </c>
      <c r="G4" s="177" t="s">
        <v>906</v>
      </c>
      <c r="I4" s="175" t="s">
        <v>930</v>
      </c>
      <c r="J4" s="175" t="s">
        <v>938</v>
      </c>
      <c r="K4" s="187" t="b">
        <f>OR(AND(Vorderseite!$E$3="Elf",Vorderseite!$D$13&gt;90),(AND(Vorderseite!$E$3="Halbling",Vorderseite!$D$13&gt;80)),(AND((OR(Vorderseite!$E$3="Berggnom",Vorderseite!$E$3="Waldgnom")),Vorderseite!$D$13&gt;60)),(AND(Vorderseite!$E$3="Zwerg",Vorderseite!$D$13&lt;61)))</f>
        <v>0</v>
      </c>
      <c r="O4" s="180" t="s">
        <v>191</v>
      </c>
      <c r="P4" s="181">
        <v>2</v>
      </c>
      <c r="Q4" s="181" t="s">
        <v>75</v>
      </c>
      <c r="R4" s="181" t="s">
        <v>75</v>
      </c>
      <c r="S4" s="181" t="s">
        <v>75</v>
      </c>
      <c r="T4" s="181" t="s">
        <v>75</v>
      </c>
      <c r="U4" s="181">
        <v>4</v>
      </c>
      <c r="V4" s="181" t="s">
        <v>75</v>
      </c>
      <c r="W4" s="181">
        <v>4</v>
      </c>
      <c r="X4" s="182" t="s">
        <v>1873</v>
      </c>
      <c r="Y4" s="181">
        <v>16</v>
      </c>
      <c r="Z4" s="181">
        <v>3</v>
      </c>
      <c r="AA4" s="182" t="s">
        <v>75</v>
      </c>
      <c r="AB4" s="180" t="s">
        <v>149</v>
      </c>
    </row>
    <row r="5" spans="1:28" x14ac:dyDescent="0.2">
      <c r="A5" s="174" t="s">
        <v>38</v>
      </c>
      <c r="C5" s="175" t="s">
        <v>902</v>
      </c>
      <c r="D5" s="175" t="s">
        <v>1141</v>
      </c>
      <c r="F5" s="176" t="s">
        <v>901</v>
      </c>
      <c r="G5" s="177" t="s">
        <v>907</v>
      </c>
      <c r="I5" s="175" t="s">
        <v>931</v>
      </c>
      <c r="J5" s="175" t="s">
        <v>939</v>
      </c>
      <c r="K5" s="184" t="s">
        <v>952</v>
      </c>
      <c r="O5" s="175" t="s">
        <v>1312</v>
      </c>
      <c r="P5" s="185">
        <v>2</v>
      </c>
      <c r="Q5" s="185" t="s">
        <v>75</v>
      </c>
      <c r="R5" s="185">
        <v>1</v>
      </c>
      <c r="S5" s="185" t="s">
        <v>75</v>
      </c>
      <c r="T5" s="185" t="s">
        <v>75</v>
      </c>
      <c r="U5" s="185">
        <v>2</v>
      </c>
      <c r="V5" s="185">
        <v>4</v>
      </c>
      <c r="W5" s="185">
        <v>2</v>
      </c>
      <c r="X5" s="186" t="s">
        <v>1342</v>
      </c>
      <c r="Y5" s="185">
        <v>12</v>
      </c>
      <c r="Z5" s="185">
        <v>3</v>
      </c>
      <c r="AA5" s="186" t="s">
        <v>631</v>
      </c>
      <c r="AB5" s="175" t="s">
        <v>1071</v>
      </c>
    </row>
    <row r="6" spans="1:28" x14ac:dyDescent="0.2">
      <c r="A6" s="174" t="s">
        <v>37</v>
      </c>
      <c r="C6" s="175" t="s">
        <v>213</v>
      </c>
      <c r="D6" s="175" t="s">
        <v>213</v>
      </c>
      <c r="F6" s="188" t="s">
        <v>910</v>
      </c>
      <c r="G6" s="189" t="s">
        <v>909</v>
      </c>
      <c r="I6" s="175" t="s">
        <v>935</v>
      </c>
      <c r="J6" s="175" t="s">
        <v>940</v>
      </c>
      <c r="K6" s="187" t="b">
        <f>OR((AND(Vorderseite!$E$3="Halbling",Vorderseite!$K$13&lt;61)),(AND((OR(Vorderseite!$E$3="Berggnom",Vorderseite!$E$3="Waldgnom")),Vorderseite!$K$13&lt;81)))</f>
        <v>0</v>
      </c>
      <c r="O6" s="180" t="s">
        <v>198</v>
      </c>
      <c r="P6" s="181">
        <v>2</v>
      </c>
      <c r="Q6" s="181">
        <v>4</v>
      </c>
      <c r="R6" s="181" t="s">
        <v>75</v>
      </c>
      <c r="S6" s="181" t="s">
        <v>75</v>
      </c>
      <c r="T6" s="181" t="s">
        <v>75</v>
      </c>
      <c r="U6" s="181" t="s">
        <v>75</v>
      </c>
      <c r="V6" s="181" t="s">
        <v>75</v>
      </c>
      <c r="W6" s="181">
        <v>2</v>
      </c>
      <c r="X6" s="182" t="s">
        <v>1079</v>
      </c>
      <c r="Y6" s="181">
        <v>6</v>
      </c>
      <c r="Z6" s="181">
        <v>5</v>
      </c>
      <c r="AA6" s="182" t="s">
        <v>650</v>
      </c>
      <c r="AB6" s="180" t="s">
        <v>146</v>
      </c>
    </row>
    <row r="7" spans="1:28" x14ac:dyDescent="0.2">
      <c r="A7" s="174" t="s">
        <v>53</v>
      </c>
      <c r="C7" s="187" t="s">
        <v>212</v>
      </c>
      <c r="D7" s="187" t="s">
        <v>1142</v>
      </c>
      <c r="I7" s="175" t="s">
        <v>947</v>
      </c>
      <c r="J7" s="187" t="s">
        <v>941</v>
      </c>
      <c r="K7" s="184" t="s">
        <v>953</v>
      </c>
      <c r="O7" s="175" t="s">
        <v>1301</v>
      </c>
      <c r="P7" s="185">
        <v>2</v>
      </c>
      <c r="Q7" s="185" t="s">
        <v>75</v>
      </c>
      <c r="R7" s="185">
        <v>2</v>
      </c>
      <c r="S7" s="185" t="s">
        <v>75</v>
      </c>
      <c r="T7" s="185" t="s">
        <v>75</v>
      </c>
      <c r="U7" s="185">
        <v>4</v>
      </c>
      <c r="V7" s="185">
        <v>8</v>
      </c>
      <c r="W7" s="185">
        <v>2</v>
      </c>
      <c r="X7" s="186" t="s">
        <v>1343</v>
      </c>
      <c r="Y7" s="185">
        <v>18</v>
      </c>
      <c r="Z7" s="185">
        <v>1</v>
      </c>
      <c r="AA7" s="186" t="s">
        <v>75</v>
      </c>
      <c r="AB7" s="175" t="s">
        <v>143</v>
      </c>
    </row>
    <row r="8" spans="1:28" x14ac:dyDescent="0.2">
      <c r="A8" s="174" t="s">
        <v>48</v>
      </c>
      <c r="F8" s="170" t="s">
        <v>950</v>
      </c>
      <c r="G8" s="191"/>
      <c r="I8" s="175" t="s">
        <v>948</v>
      </c>
      <c r="J8" s="183" t="s">
        <v>933</v>
      </c>
      <c r="K8" s="187" t="b">
        <f>OR((AND(Vorderseite!$E$3="Halbling",Vorderseite!$R$13&lt;91)),(AND((OR(Vorderseite!$E$3="Elf",Vorderseite!$E$3="Berggnom",Vorderseite!$E$3="Waldgnom")),Vorderseite!$R$13&lt;81)),(AND(Vorderseite!$E$3="Zwerg",Vorderseite!$R$13&gt;80)))</f>
        <v>0</v>
      </c>
      <c r="O8" s="180" t="s">
        <v>1314</v>
      </c>
      <c r="P8" s="181">
        <v>3</v>
      </c>
      <c r="Q8" s="181" t="s">
        <v>75</v>
      </c>
      <c r="R8" s="181" t="s">
        <v>75</v>
      </c>
      <c r="S8" s="181">
        <v>3</v>
      </c>
      <c r="T8" s="181">
        <v>1</v>
      </c>
      <c r="U8" s="181" t="s">
        <v>75</v>
      </c>
      <c r="V8" s="181" t="s">
        <v>75</v>
      </c>
      <c r="W8" s="181">
        <v>2</v>
      </c>
      <c r="X8" s="182" t="s">
        <v>1874</v>
      </c>
      <c r="Y8" s="181">
        <v>16</v>
      </c>
      <c r="Z8" s="181">
        <v>3</v>
      </c>
      <c r="AA8" s="182" t="s">
        <v>1341</v>
      </c>
      <c r="AB8" s="180" t="s">
        <v>1340</v>
      </c>
    </row>
    <row r="9" spans="1:28" x14ac:dyDescent="0.2">
      <c r="A9" s="192" t="s">
        <v>44</v>
      </c>
      <c r="C9" s="193" t="s">
        <v>182</v>
      </c>
      <c r="D9" s="355" t="s">
        <v>1170</v>
      </c>
      <c r="F9" s="176" t="s">
        <v>919</v>
      </c>
      <c r="G9" s="177" t="s">
        <v>897</v>
      </c>
      <c r="I9" s="187" t="s">
        <v>932</v>
      </c>
      <c r="J9" s="175" t="s">
        <v>934</v>
      </c>
      <c r="K9" s="184" t="s">
        <v>954</v>
      </c>
      <c r="O9" s="175" t="s">
        <v>192</v>
      </c>
      <c r="P9" s="185">
        <v>2</v>
      </c>
      <c r="Q9" s="185" t="s">
        <v>75</v>
      </c>
      <c r="R9" s="185">
        <v>3</v>
      </c>
      <c r="S9" s="185" t="s">
        <v>75</v>
      </c>
      <c r="T9" s="185" t="s">
        <v>75</v>
      </c>
      <c r="U9" s="185">
        <v>8</v>
      </c>
      <c r="V9" s="185" t="s">
        <v>75</v>
      </c>
      <c r="W9" s="185" t="s">
        <v>75</v>
      </c>
      <c r="X9" s="186" t="s">
        <v>1080</v>
      </c>
      <c r="Y9" s="185">
        <v>24</v>
      </c>
      <c r="Z9" s="185" t="s">
        <v>75</v>
      </c>
      <c r="AA9" s="186" t="s">
        <v>75</v>
      </c>
      <c r="AB9" s="175"/>
    </row>
    <row r="10" spans="1:28" x14ac:dyDescent="0.2">
      <c r="A10" s="192" t="s">
        <v>52</v>
      </c>
      <c r="C10" s="194">
        <v>-19</v>
      </c>
      <c r="D10" s="356" t="s">
        <v>1028</v>
      </c>
      <c r="F10" s="176" t="s">
        <v>917</v>
      </c>
      <c r="G10" s="177" t="s">
        <v>895</v>
      </c>
      <c r="I10" s="183" t="s">
        <v>942</v>
      </c>
      <c r="J10" s="175" t="s">
        <v>946</v>
      </c>
      <c r="K10" s="187" t="b">
        <f>OR((AND(Vorderseite!$E$3="Halbling",Vorderseite!$Y$13&lt;41)),(AND((OR(Vorderseite!$E$3="Elf",Vorderseite!$E$3="Berggnom",Vorderseite!$E$3="Waldgnom")),Vorderseite!$Y$13&lt;51)),(AND(Vorderseite!$E$3="Zwerg",Vorderseite!$Y$13&lt;61)))</f>
        <v>0</v>
      </c>
      <c r="O10" s="180" t="s">
        <v>193</v>
      </c>
      <c r="P10" s="181">
        <v>4</v>
      </c>
      <c r="Q10" s="181" t="s">
        <v>75</v>
      </c>
      <c r="R10" s="181" t="s">
        <v>75</v>
      </c>
      <c r="S10" s="181" t="s">
        <v>75</v>
      </c>
      <c r="T10" s="181" t="s">
        <v>75</v>
      </c>
      <c r="U10" s="181">
        <v>8</v>
      </c>
      <c r="V10" s="181" t="s">
        <v>75</v>
      </c>
      <c r="W10" s="181">
        <v>4</v>
      </c>
      <c r="X10" s="182" t="s">
        <v>1081</v>
      </c>
      <c r="Y10" s="181">
        <v>20</v>
      </c>
      <c r="Z10" s="181" t="s">
        <v>75</v>
      </c>
      <c r="AA10" s="182" t="s">
        <v>75</v>
      </c>
      <c r="AB10" s="180"/>
    </row>
    <row r="11" spans="1:28" x14ac:dyDescent="0.2">
      <c r="A11" s="174" t="s">
        <v>56</v>
      </c>
      <c r="C11" s="194">
        <v>11</v>
      </c>
      <c r="D11" s="356" t="s">
        <v>1029</v>
      </c>
      <c r="F11" s="176" t="s">
        <v>917</v>
      </c>
      <c r="G11" s="177" t="s">
        <v>900</v>
      </c>
      <c r="I11" s="175" t="s">
        <v>945</v>
      </c>
      <c r="J11" s="175" t="s">
        <v>931</v>
      </c>
      <c r="K11" s="184" t="s">
        <v>955</v>
      </c>
      <c r="O11" s="175" t="s">
        <v>1299</v>
      </c>
      <c r="P11" s="185">
        <v>3</v>
      </c>
      <c r="Q11" s="185" t="s">
        <v>75</v>
      </c>
      <c r="R11" s="185" t="s">
        <v>75</v>
      </c>
      <c r="S11" s="185" t="s">
        <v>75</v>
      </c>
      <c r="T11" s="185" t="s">
        <v>75</v>
      </c>
      <c r="U11" s="185" t="s">
        <v>75</v>
      </c>
      <c r="V11" s="185" t="s">
        <v>75</v>
      </c>
      <c r="W11" s="185">
        <v>5</v>
      </c>
      <c r="X11" s="186" t="s">
        <v>1875</v>
      </c>
      <c r="Y11" s="185">
        <v>6</v>
      </c>
      <c r="Z11" s="185">
        <v>5</v>
      </c>
      <c r="AA11" s="186" t="s">
        <v>1341</v>
      </c>
      <c r="AB11" s="175" t="s">
        <v>1340</v>
      </c>
    </row>
    <row r="12" spans="1:28" x14ac:dyDescent="0.2">
      <c r="A12" s="174" t="s">
        <v>47</v>
      </c>
      <c r="C12" s="194">
        <v>51</v>
      </c>
      <c r="D12" s="356" t="s">
        <v>1030</v>
      </c>
      <c r="F12" s="176" t="s">
        <v>213</v>
      </c>
      <c r="G12" s="177" t="s">
        <v>918</v>
      </c>
      <c r="I12" s="175" t="s">
        <v>943</v>
      </c>
      <c r="J12" s="175" t="s">
        <v>935</v>
      </c>
      <c r="K12" s="187" t="b">
        <f>AND(Vorderseite!$E$3="Elf",Vorderseite!$AF$13&lt;51)</f>
        <v>0</v>
      </c>
      <c r="O12" s="180" t="s">
        <v>1754</v>
      </c>
      <c r="P12" s="181">
        <v>2</v>
      </c>
      <c r="Q12" s="181" t="s">
        <v>75</v>
      </c>
      <c r="R12" s="181" t="s">
        <v>75</v>
      </c>
      <c r="S12" s="181">
        <v>3</v>
      </c>
      <c r="T12" s="181" t="s">
        <v>75</v>
      </c>
      <c r="U12" s="181" t="s">
        <v>75</v>
      </c>
      <c r="V12" s="181" t="s">
        <v>75</v>
      </c>
      <c r="W12" s="181">
        <v>2</v>
      </c>
      <c r="X12" s="182" t="s">
        <v>1763</v>
      </c>
      <c r="Y12" s="181">
        <v>18</v>
      </c>
      <c r="Z12" s="181">
        <v>3</v>
      </c>
      <c r="AA12" s="182" t="s">
        <v>75</v>
      </c>
      <c r="AB12" s="180" t="s">
        <v>1762</v>
      </c>
    </row>
    <row r="13" spans="1:28" x14ac:dyDescent="0.2">
      <c r="A13" s="174" t="s">
        <v>39</v>
      </c>
      <c r="C13" s="196">
        <v>91</v>
      </c>
      <c r="D13" s="357" t="s">
        <v>1031</v>
      </c>
      <c r="F13" s="176" t="s">
        <v>213</v>
      </c>
      <c r="G13" s="177" t="s">
        <v>896</v>
      </c>
      <c r="I13" s="175" t="s">
        <v>944</v>
      </c>
      <c r="J13" s="198" t="s">
        <v>936</v>
      </c>
      <c r="K13" s="199" t="s">
        <v>956</v>
      </c>
      <c r="O13" s="175" t="s">
        <v>199</v>
      </c>
      <c r="P13" s="185">
        <v>3</v>
      </c>
      <c r="Q13" s="185" t="s">
        <v>75</v>
      </c>
      <c r="R13" s="185" t="s">
        <v>75</v>
      </c>
      <c r="S13" s="185" t="s">
        <v>75</v>
      </c>
      <c r="T13" s="185" t="s">
        <v>75</v>
      </c>
      <c r="U13" s="185">
        <v>2</v>
      </c>
      <c r="V13" s="185" t="s">
        <v>75</v>
      </c>
      <c r="W13" s="185">
        <v>2</v>
      </c>
      <c r="X13" s="186" t="s">
        <v>1082</v>
      </c>
      <c r="Y13" s="185">
        <v>2</v>
      </c>
      <c r="Z13" s="185">
        <v>6</v>
      </c>
      <c r="AA13" s="186" t="s">
        <v>1277</v>
      </c>
      <c r="AB13" s="175" t="s">
        <v>1071</v>
      </c>
    </row>
    <row r="14" spans="1:28" x14ac:dyDescent="0.2">
      <c r="A14" s="174" t="s">
        <v>43</v>
      </c>
      <c r="F14" s="188" t="s">
        <v>212</v>
      </c>
      <c r="G14" s="189" t="s">
        <v>898</v>
      </c>
      <c r="I14" s="187" t="s">
        <v>936</v>
      </c>
      <c r="J14" s="200"/>
      <c r="K14" s="187" t="b">
        <f>AND(Vorderseite!$E$3="Elf",Erschaffungshilfe!$F$23&lt;51)</f>
        <v>0</v>
      </c>
      <c r="O14" s="180" t="s">
        <v>1757</v>
      </c>
      <c r="P14" s="181">
        <v>3</v>
      </c>
      <c r="Q14" s="181" t="s">
        <v>75</v>
      </c>
      <c r="R14" s="181" t="s">
        <v>75</v>
      </c>
      <c r="S14" s="181">
        <v>2</v>
      </c>
      <c r="T14" s="181" t="s">
        <v>75</v>
      </c>
      <c r="U14" s="181" t="s">
        <v>75</v>
      </c>
      <c r="V14" s="181" t="s">
        <v>75</v>
      </c>
      <c r="W14" s="181">
        <v>2</v>
      </c>
      <c r="X14" s="182" t="s">
        <v>1876</v>
      </c>
      <c r="Y14" s="181">
        <v>8</v>
      </c>
      <c r="Z14" s="181">
        <v>5</v>
      </c>
      <c r="AA14" s="182" t="s">
        <v>1764</v>
      </c>
      <c r="AB14" s="180" t="s">
        <v>144</v>
      </c>
    </row>
    <row r="15" spans="1:28" x14ac:dyDescent="0.2">
      <c r="A15" s="174" t="s">
        <v>40</v>
      </c>
      <c r="C15" s="201" t="s">
        <v>982</v>
      </c>
      <c r="D15" s="202" t="s">
        <v>983</v>
      </c>
      <c r="I15" s="200"/>
      <c r="J15" s="200"/>
      <c r="K15" s="199" t="s">
        <v>957</v>
      </c>
      <c r="O15" s="175" t="s">
        <v>1270</v>
      </c>
      <c r="P15" s="185">
        <v>2</v>
      </c>
      <c r="Q15" s="185" t="s">
        <v>75</v>
      </c>
      <c r="R15" s="185" t="s">
        <v>75</v>
      </c>
      <c r="S15" s="185">
        <v>2</v>
      </c>
      <c r="T15" s="185">
        <v>1</v>
      </c>
      <c r="U15" s="185" t="s">
        <v>75</v>
      </c>
      <c r="V15" s="185" t="s">
        <v>75</v>
      </c>
      <c r="W15" s="185">
        <v>3</v>
      </c>
      <c r="X15" s="186" t="s">
        <v>1338</v>
      </c>
      <c r="Y15" s="185">
        <v>18</v>
      </c>
      <c r="Z15" s="185">
        <v>3</v>
      </c>
      <c r="AA15" s="186" t="s">
        <v>428</v>
      </c>
      <c r="AB15" s="175" t="s">
        <v>1339</v>
      </c>
    </row>
    <row r="16" spans="1:28" x14ac:dyDescent="0.2">
      <c r="A16" s="174" t="s">
        <v>55</v>
      </c>
      <c r="C16" s="175" t="s">
        <v>986</v>
      </c>
      <c r="D16" s="177" t="s">
        <v>987</v>
      </c>
      <c r="F16" s="169" t="s">
        <v>1256</v>
      </c>
      <c r="I16" s="200"/>
      <c r="J16" s="200"/>
      <c r="K16" s="187" t="b">
        <f>OR((AND((OR(Vorderseite!$E$3="Zwerg",Vorderseite!$E$3="Berggnom",Vorderseite!$E$3="Waldgnom")),Vorderseite!$K$15&gt;80)),(AND(Vorderseite!$E$3="Elf",Vorderseite!$K$15&lt;81)))</f>
        <v>0</v>
      </c>
      <c r="O16" s="180" t="s">
        <v>194</v>
      </c>
      <c r="P16" s="181">
        <v>2</v>
      </c>
      <c r="Q16" s="181" t="s">
        <v>75</v>
      </c>
      <c r="R16" s="181" t="s">
        <v>75</v>
      </c>
      <c r="S16" s="181">
        <v>3</v>
      </c>
      <c r="T16" s="181">
        <v>1</v>
      </c>
      <c r="U16" s="181" t="s">
        <v>75</v>
      </c>
      <c r="V16" s="181" t="s">
        <v>75</v>
      </c>
      <c r="W16" s="181" t="s">
        <v>75</v>
      </c>
      <c r="X16" s="182" t="s">
        <v>1083</v>
      </c>
      <c r="Y16" s="181">
        <v>36</v>
      </c>
      <c r="Z16" s="181" t="s">
        <v>75</v>
      </c>
      <c r="AA16" s="182" t="s">
        <v>75</v>
      </c>
      <c r="AB16" s="180"/>
    </row>
    <row r="17" spans="1:28" x14ac:dyDescent="0.2">
      <c r="A17" s="174" t="s">
        <v>42</v>
      </c>
      <c r="C17" s="175" t="s">
        <v>984</v>
      </c>
      <c r="D17" s="177" t="s">
        <v>988</v>
      </c>
      <c r="F17" s="203" t="s">
        <v>279</v>
      </c>
      <c r="O17" s="175" t="s">
        <v>200</v>
      </c>
      <c r="P17" s="185">
        <v>1</v>
      </c>
      <c r="Q17" s="185" t="s">
        <v>75</v>
      </c>
      <c r="R17" s="185" t="s">
        <v>75</v>
      </c>
      <c r="S17" s="185" t="s">
        <v>75</v>
      </c>
      <c r="T17" s="185" t="s">
        <v>75</v>
      </c>
      <c r="U17" s="185" t="s">
        <v>75</v>
      </c>
      <c r="V17" s="185" t="s">
        <v>75</v>
      </c>
      <c r="W17" s="185">
        <v>5</v>
      </c>
      <c r="X17" s="186" t="s">
        <v>1877</v>
      </c>
      <c r="Y17" s="185">
        <v>2</v>
      </c>
      <c r="Z17" s="185">
        <v>7</v>
      </c>
      <c r="AA17" s="186" t="s">
        <v>428</v>
      </c>
      <c r="AB17" s="175" t="s">
        <v>1090</v>
      </c>
    </row>
    <row r="18" spans="1:28" x14ac:dyDescent="0.2">
      <c r="A18" s="174" t="s">
        <v>50</v>
      </c>
      <c r="C18" s="175" t="s">
        <v>998</v>
      </c>
      <c r="D18" s="177" t="s">
        <v>999</v>
      </c>
      <c r="F18" s="175" t="s">
        <v>1054</v>
      </c>
      <c r="O18" s="180" t="s">
        <v>1294</v>
      </c>
      <c r="P18" s="181">
        <v>1</v>
      </c>
      <c r="Q18" s="181" t="s">
        <v>75</v>
      </c>
      <c r="R18" s="181" t="s">
        <v>75</v>
      </c>
      <c r="S18" s="181" t="s">
        <v>75</v>
      </c>
      <c r="T18" s="181" t="s">
        <v>75</v>
      </c>
      <c r="U18" s="181">
        <v>2</v>
      </c>
      <c r="V18" s="181" t="s">
        <v>75</v>
      </c>
      <c r="W18" s="181">
        <v>7</v>
      </c>
      <c r="X18" s="182" t="str">
        <f>IF(ISBLANK(Heimat),"Landeskunde+8 (Heimat) &amp; Schreiben+12 (Muttersprache)",CONCATENATE("Landeskunde+8 (",Heimat,") &amp; Schreiben+12 (Muttersprache)"))</f>
        <v>Landeskunde+8 (Heimat) &amp; Schreiben+12 (Muttersprache)</v>
      </c>
      <c r="Y18" s="181">
        <v>16</v>
      </c>
      <c r="Z18" s="181">
        <v>3</v>
      </c>
      <c r="AA18" s="182" t="s">
        <v>75</v>
      </c>
      <c r="AB18" s="180" t="s">
        <v>1344</v>
      </c>
    </row>
    <row r="19" spans="1:28" x14ac:dyDescent="0.2">
      <c r="A19" s="174" t="s">
        <v>57</v>
      </c>
      <c r="C19" s="175" t="s">
        <v>989</v>
      </c>
      <c r="D19" s="177" t="s">
        <v>990</v>
      </c>
      <c r="F19" s="175" t="s">
        <v>237</v>
      </c>
      <c r="I19" s="224" t="s">
        <v>1181</v>
      </c>
      <c r="J19" s="225" t="s">
        <v>85</v>
      </c>
      <c r="K19" s="225" t="s">
        <v>87</v>
      </c>
      <c r="L19" s="225" t="s">
        <v>90</v>
      </c>
      <c r="M19" s="226" t="s">
        <v>92</v>
      </c>
      <c r="O19" s="175" t="s">
        <v>195</v>
      </c>
      <c r="P19" s="185">
        <v>2</v>
      </c>
      <c r="Q19" s="185" t="s">
        <v>75</v>
      </c>
      <c r="R19" s="185" t="s">
        <v>75</v>
      </c>
      <c r="S19" s="185">
        <v>3</v>
      </c>
      <c r="T19" s="185" t="s">
        <v>75</v>
      </c>
      <c r="U19" s="185" t="s">
        <v>75</v>
      </c>
      <c r="V19" s="185" t="s">
        <v>75</v>
      </c>
      <c r="W19" s="185">
        <v>2</v>
      </c>
      <c r="X19" s="186" t="s">
        <v>1084</v>
      </c>
      <c r="Y19" s="185">
        <v>18</v>
      </c>
      <c r="Z19" s="185">
        <v>3</v>
      </c>
      <c r="AA19" s="186" t="s">
        <v>75</v>
      </c>
      <c r="AB19" s="175" t="s">
        <v>144</v>
      </c>
    </row>
    <row r="20" spans="1:28" x14ac:dyDescent="0.2">
      <c r="A20" s="174" t="s">
        <v>54</v>
      </c>
      <c r="C20" s="175" t="s">
        <v>1017</v>
      </c>
      <c r="D20" s="177" t="s">
        <v>1019</v>
      </c>
      <c r="F20" s="175" t="s">
        <v>1053</v>
      </c>
      <c r="I20" s="194">
        <v>1</v>
      </c>
      <c r="J20" s="229">
        <v>5</v>
      </c>
      <c r="K20" s="229">
        <v>20</v>
      </c>
      <c r="L20" s="229">
        <v>40</v>
      </c>
      <c r="M20" s="230">
        <v>50</v>
      </c>
      <c r="O20" s="180" t="s">
        <v>202</v>
      </c>
      <c r="P20" s="181">
        <v>2</v>
      </c>
      <c r="Q20" s="181" t="s">
        <v>75</v>
      </c>
      <c r="R20" s="181" t="s">
        <v>75</v>
      </c>
      <c r="S20" s="181" t="s">
        <v>75</v>
      </c>
      <c r="T20" s="181" t="s">
        <v>75</v>
      </c>
      <c r="U20" s="181">
        <v>2</v>
      </c>
      <c r="V20" s="181" t="s">
        <v>75</v>
      </c>
      <c r="W20" s="181">
        <v>3</v>
      </c>
      <c r="X20" s="182" t="s">
        <v>1878</v>
      </c>
      <c r="Y20" s="181">
        <v>6</v>
      </c>
      <c r="Z20" s="181">
        <v>5</v>
      </c>
      <c r="AA20" s="182" t="s">
        <v>510</v>
      </c>
      <c r="AB20" s="180" t="s">
        <v>144</v>
      </c>
    </row>
    <row r="21" spans="1:28" x14ac:dyDescent="0.2">
      <c r="A21" s="174" t="s">
        <v>46</v>
      </c>
      <c r="C21" s="175" t="s">
        <v>991</v>
      </c>
      <c r="D21" s="177" t="s">
        <v>992</v>
      </c>
      <c r="F21" s="175" t="s">
        <v>234</v>
      </c>
      <c r="I21" s="194">
        <v>11</v>
      </c>
      <c r="J21" s="229">
        <v>10</v>
      </c>
      <c r="K21" s="229">
        <v>25</v>
      </c>
      <c r="L21" s="229">
        <v>50</v>
      </c>
      <c r="M21" s="230">
        <v>70</v>
      </c>
      <c r="O21" s="175" t="s">
        <v>203</v>
      </c>
      <c r="P21" s="185">
        <v>3</v>
      </c>
      <c r="Q21" s="185" t="s">
        <v>75</v>
      </c>
      <c r="R21" s="185" t="s">
        <v>75</v>
      </c>
      <c r="S21" s="185">
        <v>2</v>
      </c>
      <c r="T21" s="185" t="s">
        <v>75</v>
      </c>
      <c r="U21" s="185" t="s">
        <v>75</v>
      </c>
      <c r="V21" s="185" t="s">
        <v>75</v>
      </c>
      <c r="W21" s="185">
        <v>2</v>
      </c>
      <c r="X21" s="186" t="s">
        <v>1879</v>
      </c>
      <c r="Y21" s="185">
        <v>8</v>
      </c>
      <c r="Z21" s="185">
        <v>5</v>
      </c>
      <c r="AA21" s="186" t="s">
        <v>1088</v>
      </c>
      <c r="AB21" s="175" t="s">
        <v>144</v>
      </c>
    </row>
    <row r="22" spans="1:28" x14ac:dyDescent="0.2">
      <c r="A22" s="209" t="s">
        <v>45</v>
      </c>
      <c r="C22" s="175" t="s">
        <v>985</v>
      </c>
      <c r="D22" s="177" t="s">
        <v>1014</v>
      </c>
      <c r="F22" s="210" t="s">
        <v>238</v>
      </c>
      <c r="I22" s="194">
        <v>31</v>
      </c>
      <c r="J22" s="229">
        <v>15</v>
      </c>
      <c r="K22" s="229">
        <v>30</v>
      </c>
      <c r="L22" s="229">
        <v>60</v>
      </c>
      <c r="M22" s="230">
        <v>120</v>
      </c>
      <c r="O22" s="180" t="s">
        <v>1292</v>
      </c>
      <c r="P22" s="181">
        <v>1</v>
      </c>
      <c r="Q22" s="181" t="s">
        <v>75</v>
      </c>
      <c r="R22" s="181" t="s">
        <v>75</v>
      </c>
      <c r="S22" s="181" t="s">
        <v>75</v>
      </c>
      <c r="T22" s="181" t="s">
        <v>75</v>
      </c>
      <c r="U22" s="181" t="s">
        <v>75</v>
      </c>
      <c r="V22" s="181" t="s">
        <v>75</v>
      </c>
      <c r="W22" s="181">
        <v>5</v>
      </c>
      <c r="X22" s="182" t="s">
        <v>1880</v>
      </c>
      <c r="Y22" s="181">
        <v>6</v>
      </c>
      <c r="Z22" s="181">
        <v>5</v>
      </c>
      <c r="AA22" s="182" t="s">
        <v>1348</v>
      </c>
      <c r="AB22" s="180" t="s">
        <v>1349</v>
      </c>
    </row>
    <row r="23" spans="1:28" x14ac:dyDescent="0.2">
      <c r="C23" s="175" t="s">
        <v>1018</v>
      </c>
      <c r="D23" s="177" t="s">
        <v>1019</v>
      </c>
      <c r="F23" s="210" t="s">
        <v>1052</v>
      </c>
      <c r="I23" s="194">
        <v>61</v>
      </c>
      <c r="J23" s="229">
        <v>20</v>
      </c>
      <c r="K23" s="229">
        <v>35</v>
      </c>
      <c r="L23" s="229">
        <v>70</v>
      </c>
      <c r="M23" s="230">
        <v>140</v>
      </c>
      <c r="O23" s="175" t="s">
        <v>204</v>
      </c>
      <c r="P23" s="185">
        <v>2</v>
      </c>
      <c r="Q23" s="185" t="s">
        <v>75</v>
      </c>
      <c r="R23" s="185" t="s">
        <v>75</v>
      </c>
      <c r="S23" s="185" t="s">
        <v>75</v>
      </c>
      <c r="T23" s="185">
        <v>4</v>
      </c>
      <c r="U23" s="185" t="s">
        <v>75</v>
      </c>
      <c r="V23" s="185" t="s">
        <v>75</v>
      </c>
      <c r="W23" s="185">
        <v>2</v>
      </c>
      <c r="X23" s="186" t="s">
        <v>1085</v>
      </c>
      <c r="Y23" s="185">
        <v>6</v>
      </c>
      <c r="Z23" s="185">
        <v>5</v>
      </c>
      <c r="AA23" s="186" t="s">
        <v>1089</v>
      </c>
      <c r="AB23" s="175" t="s">
        <v>1073</v>
      </c>
    </row>
    <row r="24" spans="1:28" x14ac:dyDescent="0.2">
      <c r="A24" s="211" t="s">
        <v>1165</v>
      </c>
      <c r="C24" s="175" t="s">
        <v>1010</v>
      </c>
      <c r="D24" s="177" t="s">
        <v>1011</v>
      </c>
      <c r="F24" s="212" t="s">
        <v>927</v>
      </c>
      <c r="I24" s="194">
        <v>81</v>
      </c>
      <c r="J24" s="229">
        <v>25</v>
      </c>
      <c r="K24" s="229">
        <v>40</v>
      </c>
      <c r="L24" s="229">
        <v>75</v>
      </c>
      <c r="M24" s="230">
        <v>150</v>
      </c>
      <c r="O24" s="180" t="s">
        <v>1295</v>
      </c>
      <c r="P24" s="181">
        <v>2</v>
      </c>
      <c r="Q24" s="181" t="s">
        <v>75</v>
      </c>
      <c r="R24" s="181">
        <v>2</v>
      </c>
      <c r="S24" s="181" t="s">
        <v>75</v>
      </c>
      <c r="T24" s="181" t="s">
        <v>75</v>
      </c>
      <c r="U24" s="181" t="s">
        <v>75</v>
      </c>
      <c r="V24" s="181">
        <v>4</v>
      </c>
      <c r="W24" s="181" t="s">
        <v>75</v>
      </c>
      <c r="X24" s="182" t="s">
        <v>1345</v>
      </c>
      <c r="Y24" s="181">
        <v>16</v>
      </c>
      <c r="Z24" s="181">
        <v>3</v>
      </c>
      <c r="AA24" s="182" t="s">
        <v>75</v>
      </c>
      <c r="AB24" s="180" t="s">
        <v>1346</v>
      </c>
    </row>
    <row r="25" spans="1:28" x14ac:dyDescent="0.2">
      <c r="A25" s="212" t="s">
        <v>137</v>
      </c>
      <c r="C25" s="175" t="s">
        <v>996</v>
      </c>
      <c r="D25" s="177" t="s">
        <v>997</v>
      </c>
      <c r="F25" s="175" t="s">
        <v>981</v>
      </c>
      <c r="I25" s="194">
        <v>96</v>
      </c>
      <c r="J25" s="229">
        <v>30</v>
      </c>
      <c r="K25" s="229">
        <v>45</v>
      </c>
      <c r="L25" s="229">
        <v>80</v>
      </c>
      <c r="M25" s="230">
        <v>170</v>
      </c>
      <c r="O25" s="175" t="s">
        <v>1316</v>
      </c>
      <c r="P25" s="185">
        <v>2</v>
      </c>
      <c r="Q25" s="185" t="s">
        <v>75</v>
      </c>
      <c r="R25" s="185">
        <v>2</v>
      </c>
      <c r="S25" s="185" t="s">
        <v>75</v>
      </c>
      <c r="T25" s="185" t="s">
        <v>75</v>
      </c>
      <c r="U25" s="185" t="s">
        <v>75</v>
      </c>
      <c r="V25" s="185">
        <v>6</v>
      </c>
      <c r="W25" s="185">
        <v>3</v>
      </c>
      <c r="X25" s="186" t="s">
        <v>1335</v>
      </c>
      <c r="Y25" s="185">
        <v>10</v>
      </c>
      <c r="Z25" s="185">
        <v>3</v>
      </c>
      <c r="AA25" s="186" t="s">
        <v>1336</v>
      </c>
      <c r="AB25" s="175" t="s">
        <v>1337</v>
      </c>
    </row>
    <row r="26" spans="1:28" x14ac:dyDescent="0.2">
      <c r="A26" s="212" t="s">
        <v>140</v>
      </c>
      <c r="C26" s="175" t="s">
        <v>1008</v>
      </c>
      <c r="D26" s="177" t="s">
        <v>1009</v>
      </c>
      <c r="F26" s="175" t="s">
        <v>1116</v>
      </c>
      <c r="I26" s="196">
        <v>100</v>
      </c>
      <c r="J26" s="234">
        <v>35</v>
      </c>
      <c r="K26" s="234">
        <v>50</v>
      </c>
      <c r="L26" s="234">
        <v>90</v>
      </c>
      <c r="M26" s="235">
        <v>200</v>
      </c>
      <c r="O26" s="180" t="s">
        <v>196</v>
      </c>
      <c r="P26" s="181">
        <v>2</v>
      </c>
      <c r="Q26" s="181" t="s">
        <v>75</v>
      </c>
      <c r="R26" s="181">
        <v>6</v>
      </c>
      <c r="S26" s="181" t="s">
        <v>75</v>
      </c>
      <c r="T26" s="181" t="s">
        <v>75</v>
      </c>
      <c r="U26" s="181" t="s">
        <v>75</v>
      </c>
      <c r="V26" s="181">
        <v>12</v>
      </c>
      <c r="W26" s="181" t="s">
        <v>75</v>
      </c>
      <c r="X26" s="182" t="s">
        <v>1086</v>
      </c>
      <c r="Y26" s="181">
        <v>20</v>
      </c>
      <c r="Z26" s="181" t="s">
        <v>75</v>
      </c>
      <c r="AA26" s="182" t="s">
        <v>75</v>
      </c>
      <c r="AB26" s="180"/>
    </row>
    <row r="27" spans="1:28" x14ac:dyDescent="0.2">
      <c r="A27" s="212" t="s">
        <v>143</v>
      </c>
      <c r="C27" s="175" t="s">
        <v>1000</v>
      </c>
      <c r="D27" s="177" t="s">
        <v>1001</v>
      </c>
      <c r="F27" s="175" t="s">
        <v>1025</v>
      </c>
      <c r="O27" s="175" t="s">
        <v>1309</v>
      </c>
      <c r="P27" s="185">
        <v>1</v>
      </c>
      <c r="Q27" s="185" t="s">
        <v>75</v>
      </c>
      <c r="R27" s="185" t="s">
        <v>75</v>
      </c>
      <c r="S27" s="185" t="s">
        <v>75</v>
      </c>
      <c r="T27" s="185" t="s">
        <v>75</v>
      </c>
      <c r="U27" s="185" t="s">
        <v>75</v>
      </c>
      <c r="V27" s="185" t="s">
        <v>75</v>
      </c>
      <c r="W27" s="185">
        <v>5</v>
      </c>
      <c r="X27" s="186" t="s">
        <v>1880</v>
      </c>
      <c r="Y27" s="185">
        <v>2</v>
      </c>
      <c r="Z27" s="185">
        <v>7</v>
      </c>
      <c r="AA27" s="186" t="s">
        <v>1336</v>
      </c>
      <c r="AB27" s="175" t="s">
        <v>1337</v>
      </c>
    </row>
    <row r="28" spans="1:28" x14ac:dyDescent="0.2">
      <c r="A28" s="212" t="s">
        <v>145</v>
      </c>
      <c r="C28" s="175" t="s">
        <v>1002</v>
      </c>
      <c r="D28" s="177" t="s">
        <v>1003</v>
      </c>
      <c r="F28" s="175" t="s">
        <v>1058</v>
      </c>
      <c r="O28" s="180" t="s">
        <v>1271</v>
      </c>
      <c r="P28" s="181">
        <v>2</v>
      </c>
      <c r="Q28" s="181">
        <v>5</v>
      </c>
      <c r="R28" s="181" t="s">
        <v>75</v>
      </c>
      <c r="S28" s="181" t="s">
        <v>75</v>
      </c>
      <c r="T28" s="181">
        <v>1</v>
      </c>
      <c r="U28" s="181" t="s">
        <v>75</v>
      </c>
      <c r="V28" s="181" t="s">
        <v>75</v>
      </c>
      <c r="W28" s="181" t="s">
        <v>75</v>
      </c>
      <c r="X28" s="182" t="s">
        <v>1347</v>
      </c>
      <c r="Y28" s="181">
        <v>16</v>
      </c>
      <c r="Z28" s="181">
        <v>3</v>
      </c>
      <c r="AA28" s="182" t="s">
        <v>75</v>
      </c>
      <c r="AB28" s="180" t="s">
        <v>146</v>
      </c>
    </row>
    <row r="29" spans="1:28" x14ac:dyDescent="0.2">
      <c r="A29" s="212" t="s">
        <v>148</v>
      </c>
      <c r="C29" s="175" t="s">
        <v>1004</v>
      </c>
      <c r="D29" s="177" t="s">
        <v>1005</v>
      </c>
      <c r="F29" s="175" t="s">
        <v>1059</v>
      </c>
      <c r="I29" s="213" t="s">
        <v>0</v>
      </c>
      <c r="J29" s="213" t="s">
        <v>1143</v>
      </c>
      <c r="K29" s="214" t="s">
        <v>1164</v>
      </c>
      <c r="L29" s="215" t="s">
        <v>1032</v>
      </c>
      <c r="M29" s="213" t="s">
        <v>1176</v>
      </c>
      <c r="O29" s="175" t="s">
        <v>1317</v>
      </c>
      <c r="P29" s="185">
        <v>2</v>
      </c>
      <c r="Q29" s="185">
        <v>7</v>
      </c>
      <c r="R29" s="185" t="s">
        <v>75</v>
      </c>
      <c r="S29" s="185" t="s">
        <v>75</v>
      </c>
      <c r="T29" s="185">
        <v>1</v>
      </c>
      <c r="U29" s="185" t="s">
        <v>75</v>
      </c>
      <c r="V29" s="185" t="s">
        <v>75</v>
      </c>
      <c r="W29" s="185">
        <v>2</v>
      </c>
      <c r="X29" s="186" t="s">
        <v>1753</v>
      </c>
      <c r="Y29" s="185">
        <v>12</v>
      </c>
      <c r="Z29" s="185">
        <v>3</v>
      </c>
      <c r="AA29" s="186" t="s">
        <v>96</v>
      </c>
      <c r="AB29" s="175" t="s">
        <v>146</v>
      </c>
    </row>
    <row r="30" spans="1:28" x14ac:dyDescent="0.2">
      <c r="A30" s="212" t="s">
        <v>138</v>
      </c>
      <c r="C30" s="175" t="s">
        <v>1006</v>
      </c>
      <c r="D30" s="177" t="s">
        <v>1007</v>
      </c>
      <c r="F30" s="175" t="s">
        <v>1117</v>
      </c>
      <c r="I30" s="175" t="s">
        <v>272</v>
      </c>
      <c r="J30" s="175" t="s">
        <v>272</v>
      </c>
      <c r="K30" s="195" t="s">
        <v>1124</v>
      </c>
      <c r="L30" s="185">
        <v>-10</v>
      </c>
      <c r="M30" s="175" t="s">
        <v>1173</v>
      </c>
      <c r="O30" s="180" t="s">
        <v>197</v>
      </c>
      <c r="P30" s="181">
        <v>1</v>
      </c>
      <c r="Q30" s="181">
        <v>11</v>
      </c>
      <c r="R30" s="181" t="s">
        <v>75</v>
      </c>
      <c r="S30" s="181" t="s">
        <v>75</v>
      </c>
      <c r="T30" s="181">
        <v>4</v>
      </c>
      <c r="U30" s="181" t="s">
        <v>75</v>
      </c>
      <c r="V30" s="181" t="s">
        <v>75</v>
      </c>
      <c r="W30" s="181" t="s">
        <v>75</v>
      </c>
      <c r="X30" s="182" t="s">
        <v>1087</v>
      </c>
      <c r="Y30" s="181">
        <v>20</v>
      </c>
      <c r="Z30" s="181" t="s">
        <v>75</v>
      </c>
      <c r="AA30" s="182" t="s">
        <v>75</v>
      </c>
      <c r="AB30" s="180"/>
    </row>
    <row r="31" spans="1:28" x14ac:dyDescent="0.2">
      <c r="A31" s="216" t="s">
        <v>141</v>
      </c>
      <c r="C31" s="175" t="s">
        <v>1012</v>
      </c>
      <c r="D31" s="177" t="s">
        <v>1013</v>
      </c>
      <c r="F31" s="175" t="s">
        <v>1118</v>
      </c>
      <c r="I31" s="175" t="s">
        <v>189</v>
      </c>
      <c r="J31" s="175" t="s">
        <v>1144</v>
      </c>
      <c r="K31" s="195" t="s">
        <v>1125</v>
      </c>
      <c r="L31" s="185">
        <v>0</v>
      </c>
      <c r="M31" s="175" t="s">
        <v>1173</v>
      </c>
      <c r="O31" s="175" t="s">
        <v>1298</v>
      </c>
      <c r="P31" s="185">
        <v>2</v>
      </c>
      <c r="Q31" s="185">
        <v>2</v>
      </c>
      <c r="R31" s="185" t="s">
        <v>75</v>
      </c>
      <c r="S31" s="185" t="s">
        <v>75</v>
      </c>
      <c r="T31" s="185" t="s">
        <v>75</v>
      </c>
      <c r="U31" s="185" t="s">
        <v>75</v>
      </c>
      <c r="V31" s="185" t="s">
        <v>75</v>
      </c>
      <c r="W31" s="185">
        <v>4</v>
      </c>
      <c r="X31" s="186" t="s">
        <v>1881</v>
      </c>
      <c r="Y31" s="185">
        <v>6</v>
      </c>
      <c r="Z31" s="185">
        <v>5</v>
      </c>
      <c r="AA31" s="186" t="s">
        <v>539</v>
      </c>
      <c r="AB31" s="175" t="s">
        <v>146</v>
      </c>
    </row>
    <row r="32" spans="1:28" x14ac:dyDescent="0.2">
      <c r="C32" s="175" t="s">
        <v>1015</v>
      </c>
      <c r="D32" s="177" t="s">
        <v>1016</v>
      </c>
      <c r="F32" s="175" t="s">
        <v>1119</v>
      </c>
      <c r="I32" s="175" t="s">
        <v>191</v>
      </c>
      <c r="J32" s="175" t="s">
        <v>1145</v>
      </c>
      <c r="K32" s="195" t="s">
        <v>1126</v>
      </c>
      <c r="L32" s="185">
        <v>20</v>
      </c>
      <c r="M32" s="175" t="s">
        <v>1175</v>
      </c>
      <c r="O32" s="358" t="s">
        <v>1319</v>
      </c>
      <c r="P32" s="359">
        <v>4</v>
      </c>
      <c r="Q32" s="359" t="s">
        <v>75</v>
      </c>
      <c r="R32" s="359" t="s">
        <v>75</v>
      </c>
      <c r="S32" s="359" t="s">
        <v>75</v>
      </c>
      <c r="T32" s="359" t="s">
        <v>75</v>
      </c>
      <c r="U32" s="359">
        <v>6</v>
      </c>
      <c r="V32" s="359" t="s">
        <v>75</v>
      </c>
      <c r="W32" s="359">
        <v>2</v>
      </c>
      <c r="X32" s="360" t="s">
        <v>1334</v>
      </c>
      <c r="Y32" s="359">
        <v>10</v>
      </c>
      <c r="Z32" s="359">
        <v>4</v>
      </c>
      <c r="AA32" s="360" t="s">
        <v>1333</v>
      </c>
      <c r="AB32" s="358" t="s">
        <v>1071</v>
      </c>
    </row>
    <row r="33" spans="1:17" x14ac:dyDescent="0.2">
      <c r="A33" s="168" t="s">
        <v>1172</v>
      </c>
      <c r="C33" s="175" t="s">
        <v>994</v>
      </c>
      <c r="D33" s="177" t="s">
        <v>995</v>
      </c>
      <c r="F33" s="175" t="s">
        <v>1120</v>
      </c>
      <c r="I33" s="175" t="s">
        <v>1312</v>
      </c>
      <c r="J33" s="175" t="s">
        <v>1313</v>
      </c>
      <c r="K33" s="195" t="s">
        <v>1328</v>
      </c>
      <c r="L33" s="185">
        <v>0</v>
      </c>
      <c r="M33" s="175" t="s">
        <v>1174</v>
      </c>
    </row>
    <row r="34" spans="1:17" x14ac:dyDescent="0.2">
      <c r="A34" s="175" t="s">
        <v>271</v>
      </c>
      <c r="C34" s="175" t="s">
        <v>1020</v>
      </c>
      <c r="D34" s="177" t="s">
        <v>1021</v>
      </c>
      <c r="F34" s="175" t="s">
        <v>1121</v>
      </c>
      <c r="I34" s="175" t="s">
        <v>198</v>
      </c>
      <c r="J34" s="175" t="s">
        <v>1146</v>
      </c>
      <c r="K34" s="195" t="s">
        <v>1127</v>
      </c>
      <c r="L34" s="185">
        <v>10</v>
      </c>
      <c r="M34" s="175" t="s">
        <v>1174</v>
      </c>
      <c r="O34" s="204" t="s">
        <v>1045</v>
      </c>
      <c r="P34" s="205" t="s">
        <v>748</v>
      </c>
      <c r="Q34" s="206" t="s">
        <v>1321</v>
      </c>
    </row>
    <row r="35" spans="1:17" x14ac:dyDescent="0.2">
      <c r="A35" s="187" t="s">
        <v>273</v>
      </c>
      <c r="C35" s="175" t="s">
        <v>1022</v>
      </c>
      <c r="D35" s="177" t="s">
        <v>1023</v>
      </c>
      <c r="F35" s="175" t="s">
        <v>1122</v>
      </c>
      <c r="I35" s="175" t="s">
        <v>1301</v>
      </c>
      <c r="J35" s="175" t="s">
        <v>1302</v>
      </c>
      <c r="K35" s="195" t="s">
        <v>1308</v>
      </c>
      <c r="L35" s="185">
        <v>0</v>
      </c>
      <c r="M35" s="175" t="s">
        <v>1175</v>
      </c>
      <c r="O35" s="207" t="s">
        <v>1050</v>
      </c>
      <c r="P35" s="208" t="s">
        <v>1049</v>
      </c>
      <c r="Q35" s="361" t="s">
        <v>1050</v>
      </c>
    </row>
    <row r="36" spans="1:17" x14ac:dyDescent="0.2">
      <c r="C36" s="187" t="s">
        <v>993</v>
      </c>
      <c r="D36" s="189" t="s">
        <v>992</v>
      </c>
      <c r="F36" s="187" t="s">
        <v>1123</v>
      </c>
      <c r="I36" s="175" t="s">
        <v>1314</v>
      </c>
      <c r="J36" s="175" t="s">
        <v>1315</v>
      </c>
      <c r="K36" s="195" t="s">
        <v>1329</v>
      </c>
      <c r="L36" s="185">
        <v>10</v>
      </c>
      <c r="M36" s="175" t="s">
        <v>1174</v>
      </c>
      <c r="O36" s="207" t="s">
        <v>1046</v>
      </c>
      <c r="P36" s="208" t="s">
        <v>1697</v>
      </c>
      <c r="Q36" s="361" t="s">
        <v>1049</v>
      </c>
    </row>
    <row r="37" spans="1:17" x14ac:dyDescent="0.2">
      <c r="A37" s="217" t="s">
        <v>65</v>
      </c>
      <c r="I37" s="175" t="s">
        <v>192</v>
      </c>
      <c r="J37" s="175" t="s">
        <v>1147</v>
      </c>
      <c r="K37" s="195" t="s">
        <v>1128</v>
      </c>
      <c r="L37" s="185">
        <v>0</v>
      </c>
      <c r="M37" s="175" t="s">
        <v>1173</v>
      </c>
      <c r="O37" s="207" t="s">
        <v>1047</v>
      </c>
      <c r="P37" s="208" t="s">
        <v>1796</v>
      </c>
      <c r="Q37" s="361" t="s">
        <v>1352</v>
      </c>
    </row>
    <row r="38" spans="1:17" x14ac:dyDescent="0.2">
      <c r="A38" s="185" t="s">
        <v>206</v>
      </c>
      <c r="C38" s="253" t="s">
        <v>1166</v>
      </c>
      <c r="D38" s="254" t="s">
        <v>269</v>
      </c>
      <c r="F38" s="218" t="s">
        <v>1055</v>
      </c>
      <c r="I38" s="175" t="s">
        <v>193</v>
      </c>
      <c r="J38" s="175" t="s">
        <v>1148</v>
      </c>
      <c r="K38" s="195" t="s">
        <v>1129</v>
      </c>
      <c r="L38" s="185">
        <v>-10</v>
      </c>
      <c r="M38" s="175" t="s">
        <v>1173</v>
      </c>
      <c r="O38" s="207" t="s">
        <v>1048</v>
      </c>
      <c r="P38" s="208"/>
      <c r="Q38" s="361" t="s">
        <v>1698</v>
      </c>
    </row>
    <row r="39" spans="1:17" x14ac:dyDescent="0.2">
      <c r="A39" s="185" t="s">
        <v>207</v>
      </c>
      <c r="C39" s="194">
        <v>1</v>
      </c>
      <c r="D39" s="195">
        <v>-2</v>
      </c>
      <c r="I39" s="175" t="s">
        <v>1754</v>
      </c>
      <c r="J39" s="175" t="s">
        <v>1755</v>
      </c>
      <c r="K39" s="195" t="s">
        <v>1756</v>
      </c>
      <c r="L39" s="185">
        <v>0</v>
      </c>
      <c r="M39" s="175" t="s">
        <v>1175</v>
      </c>
      <c r="O39" s="207"/>
      <c r="P39" s="208"/>
      <c r="Q39" s="361" t="s">
        <v>1796</v>
      </c>
    </row>
    <row r="40" spans="1:17" x14ac:dyDescent="0.2">
      <c r="A40" s="185" t="s">
        <v>208</v>
      </c>
      <c r="C40" s="194">
        <v>6</v>
      </c>
      <c r="D40" s="195">
        <v>-1</v>
      </c>
      <c r="I40" s="175" t="s">
        <v>1299</v>
      </c>
      <c r="J40" s="175" t="s">
        <v>1300</v>
      </c>
      <c r="K40" s="195" t="s">
        <v>1307</v>
      </c>
      <c r="L40" s="185">
        <v>10</v>
      </c>
      <c r="M40" s="175" t="s">
        <v>1174</v>
      </c>
      <c r="O40" s="207"/>
      <c r="P40" s="208"/>
      <c r="Q40" s="361"/>
    </row>
    <row r="41" spans="1:17" x14ac:dyDescent="0.2">
      <c r="A41" s="185" t="s">
        <v>209</v>
      </c>
      <c r="C41" s="194">
        <v>21</v>
      </c>
      <c r="D41" s="195">
        <v>0</v>
      </c>
      <c r="F41" s="222" t="s">
        <v>1252</v>
      </c>
      <c r="G41" s="223" t="str">
        <f>IF(ISBLANK(Erschaffungshilfe!E5),"",IF(OR(Rasse="Berggnom",Rasse="Waldgnom"),ROUNDDOWN(Ko/10,0)+7-3+Erschaffungshilfe!$E$12,IF(OR(Rasse="Halbling"),ROUNDDOWN(Ko/10,0)+7-2+Erschaffungshilfe!$E$12,IF(OR(Rasse="Zwerg"),ROUNDDOWN(Ko/10,0)+7+1+Erschaffungshilfe!$E$12,ROUNDDOWN(Ko/10,0)+7+Erschaffungshilfe!$E$12))))</f>
        <v/>
      </c>
      <c r="I41" s="175" t="s">
        <v>199</v>
      </c>
      <c r="J41" s="175" t="s">
        <v>1149</v>
      </c>
      <c r="K41" s="195" t="s">
        <v>1130</v>
      </c>
      <c r="L41" s="185">
        <v>0</v>
      </c>
      <c r="M41" s="175" t="s">
        <v>1174</v>
      </c>
      <c r="O41" s="207"/>
      <c r="P41" s="208"/>
      <c r="Q41" s="361"/>
    </row>
    <row r="42" spans="1:17" x14ac:dyDescent="0.2">
      <c r="A42" s="185" t="s">
        <v>210</v>
      </c>
      <c r="C42" s="194">
        <v>81</v>
      </c>
      <c r="D42" s="195">
        <v>1</v>
      </c>
      <c r="G42" s="190"/>
      <c r="I42" s="175" t="s">
        <v>1757</v>
      </c>
      <c r="J42" s="175" t="s">
        <v>1758</v>
      </c>
      <c r="K42" s="195" t="s">
        <v>1759</v>
      </c>
      <c r="L42" s="185">
        <v>20</v>
      </c>
      <c r="M42" s="175" t="s">
        <v>1174</v>
      </c>
    </row>
    <row r="43" spans="1:17" x14ac:dyDescent="0.2">
      <c r="A43" s="221" t="s">
        <v>66</v>
      </c>
      <c r="C43" s="196">
        <v>96</v>
      </c>
      <c r="D43" s="197">
        <v>2</v>
      </c>
      <c r="F43" s="227" t="s">
        <v>1034</v>
      </c>
      <c r="G43" s="228" t="s">
        <v>1186</v>
      </c>
      <c r="I43" s="175" t="s">
        <v>1270</v>
      </c>
      <c r="J43" s="175" t="s">
        <v>1273</v>
      </c>
      <c r="K43" s="195" t="s">
        <v>1274</v>
      </c>
      <c r="L43" s="185">
        <v>10</v>
      </c>
      <c r="M43" s="175" t="s">
        <v>1174</v>
      </c>
      <c r="O43" s="375"/>
    </row>
    <row r="44" spans="1:17" x14ac:dyDescent="0.2">
      <c r="F44" s="231" t="s">
        <v>4</v>
      </c>
      <c r="G44" s="195" t="str">
        <f>IF(ISBLANK(Erschaffungshilfe!$E$14),"",16+Erschaffungshilfe!$E$14)</f>
        <v/>
      </c>
      <c r="I44" s="175" t="s">
        <v>194</v>
      </c>
      <c r="J44" s="175" t="s">
        <v>1150</v>
      </c>
      <c r="K44" s="195" t="s">
        <v>1131</v>
      </c>
      <c r="L44" s="185">
        <v>0</v>
      </c>
      <c r="M44" s="175" t="s">
        <v>1173</v>
      </c>
      <c r="O44" s="375"/>
    </row>
    <row r="45" spans="1:17" x14ac:dyDescent="0.2">
      <c r="A45" s="232" t="s">
        <v>888</v>
      </c>
      <c r="C45" s="258" t="s">
        <v>1</v>
      </c>
      <c r="D45" s="259" t="s">
        <v>1177</v>
      </c>
      <c r="E45" s="260" t="s">
        <v>1178</v>
      </c>
      <c r="F45" s="231" t="s">
        <v>211</v>
      </c>
      <c r="G45" s="195" t="str">
        <f>IF(ISBLANK(Erschaffungshilfe!$E$14),"",16+Erschaffungshilfe!$E$14)</f>
        <v/>
      </c>
      <c r="I45" s="175" t="s">
        <v>200</v>
      </c>
      <c r="J45" s="175" t="s">
        <v>1151</v>
      </c>
      <c r="K45" s="195" t="s">
        <v>1132</v>
      </c>
      <c r="L45" s="185">
        <v>10</v>
      </c>
      <c r="M45" s="175" t="s">
        <v>1174</v>
      </c>
    </row>
    <row r="46" spans="1:17" x14ac:dyDescent="0.2">
      <c r="A46" s="175" t="str">
        <f>Waffenliste!J2</f>
        <v>Anderthalbhänder</v>
      </c>
      <c r="C46" s="194">
        <v>1</v>
      </c>
      <c r="D46" s="261">
        <v>11</v>
      </c>
      <c r="E46" s="195">
        <v>11</v>
      </c>
      <c r="F46" s="231" t="s">
        <v>901</v>
      </c>
      <c r="G46" s="195" t="str">
        <f>IF(ISBLANK(Erschaffungshilfe!$E$14),"",8+Erschaffungshilfe!$E$14)</f>
        <v/>
      </c>
      <c r="I46" s="175" t="s">
        <v>1294</v>
      </c>
      <c r="J46" s="175" t="s">
        <v>1303</v>
      </c>
      <c r="K46" s="195" t="s">
        <v>1305</v>
      </c>
      <c r="L46" s="185">
        <v>10</v>
      </c>
      <c r="M46" s="175" t="s">
        <v>1175</v>
      </c>
    </row>
    <row r="47" spans="1:17" x14ac:dyDescent="0.2">
      <c r="A47" s="175" t="str">
        <f>Waffenliste!J4</f>
        <v>Barbarenstreitaxt</v>
      </c>
      <c r="C47" s="194">
        <v>2</v>
      </c>
      <c r="D47" s="261">
        <v>12</v>
      </c>
      <c r="E47" s="195">
        <v>12</v>
      </c>
      <c r="F47" s="231" t="s">
        <v>902</v>
      </c>
      <c r="G47" s="195" t="str">
        <f>IF(ISBLANK(Erschaffungshilfe!$E$14),"",8+Erschaffungshilfe!$E$14)</f>
        <v/>
      </c>
      <c r="I47" s="175" t="s">
        <v>195</v>
      </c>
      <c r="J47" s="175" t="s">
        <v>1152</v>
      </c>
      <c r="K47" s="195" t="s">
        <v>1133</v>
      </c>
      <c r="L47" s="185">
        <v>0</v>
      </c>
      <c r="M47" s="175" t="s">
        <v>1175</v>
      </c>
    </row>
    <row r="48" spans="1:17" x14ac:dyDescent="0.2">
      <c r="A48" s="175" t="str">
        <f>Waffenliste!J5</f>
        <v>Bihänder</v>
      </c>
      <c r="C48" s="194">
        <v>4</v>
      </c>
      <c r="D48" s="261">
        <v>12</v>
      </c>
      <c r="E48" s="195">
        <v>13</v>
      </c>
      <c r="F48" s="231" t="s">
        <v>213</v>
      </c>
      <c r="G48" s="195" t="str">
        <f>IF(ISBLANK(Erschaffungshilfe!$E$14),"",8+Erschaffungshilfe!$E$14)</f>
        <v/>
      </c>
      <c r="I48" s="175" t="s">
        <v>202</v>
      </c>
      <c r="J48" s="175" t="s">
        <v>1154</v>
      </c>
      <c r="K48" s="195" t="s">
        <v>1134</v>
      </c>
      <c r="L48" s="185">
        <v>20</v>
      </c>
      <c r="M48" s="175" t="s">
        <v>1174</v>
      </c>
    </row>
    <row r="49" spans="1:13" x14ac:dyDescent="0.2">
      <c r="A49" s="175" t="str">
        <f>Waffenliste!J7</f>
        <v>Dolch</v>
      </c>
      <c r="C49" s="194">
        <v>5</v>
      </c>
      <c r="D49" s="261">
        <v>13</v>
      </c>
      <c r="E49" s="195">
        <v>13</v>
      </c>
      <c r="F49" s="198" t="s">
        <v>212</v>
      </c>
      <c r="G49" s="197" t="str">
        <f>IF(ISBLANK(Erschaffungshilfe!$E$14),"",12+Erschaffungshilfe!$E$14)</f>
        <v/>
      </c>
      <c r="I49" s="175" t="s">
        <v>203</v>
      </c>
      <c r="J49" s="175" t="s">
        <v>1153</v>
      </c>
      <c r="K49" s="195" t="s">
        <v>1135</v>
      </c>
      <c r="L49" s="185">
        <v>20</v>
      </c>
      <c r="M49" s="175" t="s">
        <v>1174</v>
      </c>
    </row>
    <row r="50" spans="1:13" x14ac:dyDescent="0.2">
      <c r="A50" s="175" t="str">
        <f>Waffenliste!J12</f>
        <v>Florett</v>
      </c>
      <c r="C50" s="194">
        <v>6</v>
      </c>
      <c r="D50" s="261">
        <v>13</v>
      </c>
      <c r="E50" s="195">
        <v>14</v>
      </c>
      <c r="G50" s="190"/>
      <c r="I50" s="175" t="s">
        <v>1292</v>
      </c>
      <c r="J50" s="175" t="s">
        <v>1293</v>
      </c>
      <c r="K50" s="195" t="s">
        <v>1304</v>
      </c>
      <c r="L50" s="185">
        <v>20</v>
      </c>
      <c r="M50" s="175" t="s">
        <v>1174</v>
      </c>
    </row>
    <row r="51" spans="1:13" x14ac:dyDescent="0.2">
      <c r="A51" s="175" t="str">
        <f>Waffenliste!J13</f>
        <v>Fuchtel</v>
      </c>
      <c r="C51" s="194">
        <v>8</v>
      </c>
      <c r="D51" s="261">
        <v>13</v>
      </c>
      <c r="E51" s="195">
        <v>15</v>
      </c>
      <c r="F51" s="236" t="s">
        <v>1253</v>
      </c>
      <c r="G51" s="237" t="str">
        <f>IF(OR(ISBLANK(Typ),ISBLANK(Rasse)),"",IF(AND(NOT(Rasse="Mensch"),(VLOOKUP((Erschaffungshilfe!$E$19+VLOOKUP(Typ,StandMod,4,FALSE)),StandListe,2,TRUE))="unfrei"),"Volk",IF(AND((VLOOKUP((Erschaffungshilfe!$E$19+VLOOKUP(Typ,StandMod,4,FALSE)),StandListe,2,TRUE))="Adel",OR(Rasse="Berggnom",Rasse="Waldgnom",Rasse="Halbling")),"Mittelschicht",VLOOKUP((Erschaffungshilfe!$E$19+VLOOKUP(Typ,StandMod,4,FALSE)),StandListe,2,TRUE))))</f>
        <v/>
      </c>
      <c r="I51" s="175" t="s">
        <v>204</v>
      </c>
      <c r="J51" s="175" t="s">
        <v>1155</v>
      </c>
      <c r="K51" s="195" t="s">
        <v>1136</v>
      </c>
      <c r="L51" s="185">
        <v>0</v>
      </c>
      <c r="M51" s="175" t="s">
        <v>1174</v>
      </c>
    </row>
    <row r="52" spans="1:13" x14ac:dyDescent="0.2">
      <c r="A52" s="175" t="str">
        <f>Waffenliste!J14</f>
        <v>Glefe</v>
      </c>
      <c r="C52" s="194">
        <v>10</v>
      </c>
      <c r="D52" s="261">
        <v>14</v>
      </c>
      <c r="E52" s="195">
        <v>16</v>
      </c>
      <c r="I52" s="175" t="s">
        <v>1295</v>
      </c>
      <c r="J52" s="175" t="s">
        <v>1296</v>
      </c>
      <c r="K52" s="195" t="s">
        <v>1306</v>
      </c>
      <c r="L52" s="185">
        <v>0</v>
      </c>
      <c r="M52" s="175" t="s">
        <v>1175</v>
      </c>
    </row>
    <row r="53" spans="1:13" x14ac:dyDescent="0.2">
      <c r="A53" s="175" t="str">
        <f>Waffenliste!J16</f>
        <v>Handaxt</v>
      </c>
      <c r="C53" s="194">
        <v>15</v>
      </c>
      <c r="D53" s="261">
        <v>15</v>
      </c>
      <c r="E53" s="195">
        <v>17</v>
      </c>
      <c r="F53" s="227" t="s">
        <v>1037</v>
      </c>
      <c r="G53" s="228" t="s">
        <v>1186</v>
      </c>
      <c r="I53" s="175" t="s">
        <v>1316</v>
      </c>
      <c r="J53" s="175" t="s">
        <v>1326</v>
      </c>
      <c r="K53" s="195" t="s">
        <v>1330</v>
      </c>
      <c r="L53" s="185">
        <v>10</v>
      </c>
      <c r="M53" s="175" t="s">
        <v>1174</v>
      </c>
    </row>
    <row r="54" spans="1:13" x14ac:dyDescent="0.2">
      <c r="A54" s="175" t="str">
        <f>Waffenliste!J17</f>
        <v>Hellebarde</v>
      </c>
      <c r="C54" s="194">
        <v>20</v>
      </c>
      <c r="D54" s="261">
        <v>16</v>
      </c>
      <c r="E54" s="195">
        <v>18</v>
      </c>
      <c r="F54" s="242" t="s">
        <v>1041</v>
      </c>
      <c r="G54" s="243" t="str">
        <f>IF(ISBLANK(Erschaffungshilfe!$E$21),"",(ROUNDDOWN(St/10,0)+Erschaffungshilfe!$E$21+150)/100)</f>
        <v/>
      </c>
      <c r="I54" s="175" t="s">
        <v>196</v>
      </c>
      <c r="J54" s="175" t="s">
        <v>1156</v>
      </c>
      <c r="K54" s="195" t="s">
        <v>1137</v>
      </c>
      <c r="L54" s="185">
        <v>-20</v>
      </c>
      <c r="M54" s="175" t="s">
        <v>1173</v>
      </c>
    </row>
    <row r="55" spans="1:13" x14ac:dyDescent="0.2">
      <c r="A55" s="175" t="str">
        <f>Waffenliste!J20</f>
        <v>Keule</v>
      </c>
      <c r="C55" s="194">
        <v>25</v>
      </c>
      <c r="D55" s="261">
        <v>17</v>
      </c>
      <c r="E55" s="195">
        <v>18</v>
      </c>
      <c r="F55" s="231" t="s">
        <v>1042</v>
      </c>
      <c r="G55" s="243" t="str">
        <f>IF(ISBLANK(Erschaffungshilfe!$E$21),"",(ROUNDDOWN(St/10,0)+Erschaffungshilfe!$E$21+140)/100)</f>
        <v/>
      </c>
      <c r="I55" s="175" t="s">
        <v>1309</v>
      </c>
      <c r="J55" s="175" t="s">
        <v>1310</v>
      </c>
      <c r="K55" s="195" t="s">
        <v>1311</v>
      </c>
      <c r="L55" s="185">
        <v>10</v>
      </c>
      <c r="M55" s="175" t="s">
        <v>1174</v>
      </c>
    </row>
    <row r="56" spans="1:13" x14ac:dyDescent="0.2">
      <c r="A56" s="175" t="str">
        <f>Waffenliste!J22</f>
        <v>Kriegshammer</v>
      </c>
      <c r="C56" s="196">
        <v>30</v>
      </c>
      <c r="D56" s="262">
        <v>18</v>
      </c>
      <c r="E56" s="197">
        <v>18</v>
      </c>
      <c r="F56" s="231" t="s">
        <v>1237</v>
      </c>
      <c r="G56" s="243" t="str">
        <f>IF(ISBLANK(Erschaffungshilfe!$E$21),"",(ROUNDDOWN(St/10,0)+Erschaffungshilfe!$E$21+160)/100)</f>
        <v/>
      </c>
      <c r="I56" s="175" t="s">
        <v>1271</v>
      </c>
      <c r="J56" s="175" t="s">
        <v>1272</v>
      </c>
      <c r="K56" s="195" t="s">
        <v>1275</v>
      </c>
      <c r="L56" s="185">
        <v>0</v>
      </c>
      <c r="M56" s="175" t="s">
        <v>1175</v>
      </c>
    </row>
    <row r="57" spans="1:13" x14ac:dyDescent="0.2">
      <c r="A57" s="175" t="str">
        <f>Waffenliste!J23</f>
        <v>Krummsäbel</v>
      </c>
      <c r="F57" s="231" t="s">
        <v>1039</v>
      </c>
      <c r="G57" s="243" t="str">
        <f>IF(ISBLANK(Erschaffungshilfe!$E$21),"",(ROUNDDOWN(St/10,0)+Erschaffungshilfe!$E$21+90)/100)</f>
        <v/>
      </c>
      <c r="I57" s="175" t="s">
        <v>1317</v>
      </c>
      <c r="J57" s="175" t="s">
        <v>1318</v>
      </c>
      <c r="K57" s="195" t="s">
        <v>1331</v>
      </c>
      <c r="L57" s="185">
        <v>10</v>
      </c>
      <c r="M57" s="175" t="s">
        <v>1174</v>
      </c>
    </row>
    <row r="58" spans="1:13" x14ac:dyDescent="0.2">
      <c r="A58" s="175" t="str">
        <f>Waffenliste!J24</f>
        <v>Kurzschwert</v>
      </c>
      <c r="C58" s="227" t="s">
        <v>1033</v>
      </c>
      <c r="D58" s="263" t="s">
        <v>1186</v>
      </c>
      <c r="E58" s="228" t="s">
        <v>269</v>
      </c>
      <c r="F58" s="231" t="s">
        <v>274</v>
      </c>
      <c r="G58" s="243" t="str">
        <f>IF(ISBLANK(Erschaffungshilfe!$E$21),"",(ROUNDDOWN(St/10,0)+Erschaffungshilfe!$E$21+100)/100)</f>
        <v/>
      </c>
      <c r="I58" s="175" t="s">
        <v>197</v>
      </c>
      <c r="J58" s="175" t="s">
        <v>1157</v>
      </c>
      <c r="K58" s="195" t="s">
        <v>1138</v>
      </c>
      <c r="L58" s="185">
        <v>-10</v>
      </c>
      <c r="M58" s="175" t="s">
        <v>1173</v>
      </c>
    </row>
    <row r="59" spans="1:13" x14ac:dyDescent="0.2">
      <c r="A59" s="175" t="str">
        <f>Waffenliste!J25</f>
        <v>Langschwert</v>
      </c>
      <c r="C59" s="194" t="s">
        <v>13</v>
      </c>
      <c r="D59" s="261" t="str">
        <f>IF(ISBLANK(Erschaffungshilfe!E2),"",Erschaffungshilfe!E2)</f>
        <v/>
      </c>
      <c r="E59" s="195" t="str">
        <f>IF(ISBLANK(Erschaffungshilfe!E2),"",VLOOKUP(Erschaffungshilfe!E2,EigBonus,2,TRUE))</f>
        <v/>
      </c>
      <c r="F59" s="198" t="s">
        <v>275</v>
      </c>
      <c r="G59" s="244" t="str">
        <f>IF(ISBLANK(Erschaffungshilfe!$E$21),"",(ROUNDDOWN(St/10,0)+Erschaffungshilfe!$E$21+130)/100)</f>
        <v/>
      </c>
      <c r="I59" s="175" t="s">
        <v>1298</v>
      </c>
      <c r="J59" s="175" t="s">
        <v>1297</v>
      </c>
      <c r="K59" s="195" t="s">
        <v>1327</v>
      </c>
      <c r="L59" s="185">
        <v>10</v>
      </c>
      <c r="M59" s="175" t="s">
        <v>1174</v>
      </c>
    </row>
    <row r="60" spans="1:13" x14ac:dyDescent="0.2">
      <c r="A60" s="175" t="str">
        <f>Waffenliste!J26</f>
        <v>Magierstab</v>
      </c>
      <c r="C60" s="194" t="s">
        <v>14</v>
      </c>
      <c r="D60" s="261" t="str">
        <f>IF(ISBLANK(Erschaffungshilfe!E3),"",Erschaffungshilfe!E3)</f>
        <v/>
      </c>
      <c r="E60" s="195" t="str">
        <f>IF(ISBLANK(Erschaffungshilfe!E3),"",VLOOKUP(Erschaffungshilfe!E3,EigBonus,2,TRUE))</f>
        <v/>
      </c>
      <c r="I60" s="187" t="s">
        <v>1319</v>
      </c>
      <c r="J60" s="187" t="s">
        <v>1320</v>
      </c>
      <c r="K60" s="197" t="s">
        <v>1332</v>
      </c>
      <c r="L60" s="221">
        <v>0</v>
      </c>
      <c r="M60" s="187" t="s">
        <v>1174</v>
      </c>
    </row>
    <row r="61" spans="1:13" x14ac:dyDescent="0.2">
      <c r="A61" s="175" t="str">
        <f>Waffenliste!J27</f>
        <v>Magierstecken</v>
      </c>
      <c r="C61" s="194" t="s">
        <v>15</v>
      </c>
      <c r="D61" s="261" t="str">
        <f>IF(ISBLANK(Erschaffungshilfe!E4),"",Erschaffungshilfe!E4)</f>
        <v/>
      </c>
      <c r="E61" s="195" t="str">
        <f>IF(ISBLANK(Erschaffungshilfe!E4),"",VLOOKUP(Erschaffungshilfe!E4,EigBonus,2,TRUE))</f>
        <v/>
      </c>
      <c r="F61" s="227" t="s">
        <v>1038</v>
      </c>
      <c r="G61" s="228" t="s">
        <v>1186</v>
      </c>
    </row>
    <row r="62" spans="1:13" x14ac:dyDescent="0.2">
      <c r="A62" s="175" t="str">
        <f>Waffenliste!J30</f>
        <v>Ochsenzunge</v>
      </c>
      <c r="C62" s="194" t="s">
        <v>16</v>
      </c>
      <c r="D62" s="261" t="str">
        <f>IF(ISBLANK(Erschaffungshilfe!E5),"",Erschaffungshilfe!E5)</f>
        <v/>
      </c>
      <c r="E62" s="195" t="str">
        <f>IF(ISBLANK(Erschaffungshilfe!E5),"",VLOOKUP(Erschaffungshilfe!E5,EigBonus,2,TRUE))</f>
        <v/>
      </c>
      <c r="F62" s="231" t="s">
        <v>1043</v>
      </c>
      <c r="G62" s="245" t="str">
        <f>IF(ISBLANK(Erschaffungshilfe!$E$24),"",ROUNDDOWN(St/10,0)+Erschaffungshilfe!$E$24+(Notizen!$G$54*100)-120)</f>
        <v/>
      </c>
    </row>
    <row r="63" spans="1:13" x14ac:dyDescent="0.2">
      <c r="A63" s="175" t="str">
        <f>Waffenliste!J31</f>
        <v>Ogerhammer</v>
      </c>
      <c r="C63" s="194" t="s">
        <v>17</v>
      </c>
      <c r="D63" s="261" t="str">
        <f>IF(ISBLANK(Erschaffungshilfe!E6),"",Erschaffungshilfe!E6)</f>
        <v/>
      </c>
      <c r="E63" s="195" t="str">
        <f>IF(ISBLANK(Erschaffungshilfe!E6),"",VLOOKUP(Erschaffungshilfe!E6,EigBonus,2,TRUE))</f>
        <v/>
      </c>
      <c r="F63" s="231" t="s">
        <v>1044</v>
      </c>
      <c r="G63" s="245" t="str">
        <f>IF(ISBLANK(Erschaffungshilfe!$E$24),"",ROUNDDOWN(St/10,0)+Erschaffungshilfe!$E$24+(Notizen!$G$55*100)-120-4)</f>
        <v/>
      </c>
    </row>
    <row r="64" spans="1:13" x14ac:dyDescent="0.2">
      <c r="A64" s="175" t="str">
        <f>Waffenliste!J32</f>
        <v>Rapier</v>
      </c>
      <c r="C64" s="194" t="s">
        <v>21</v>
      </c>
      <c r="D64" s="261" t="str">
        <f>IF(ISBLANK(Erschaffungshilfe!E7),"",Erschaffungshilfe!E7)</f>
        <v/>
      </c>
      <c r="E64" s="195" t="str">
        <f>IF(ISBLANK(Erschaffungshilfe!E7),"",VLOOKUP(Erschaffungshilfe!E7,EigBonus,2,TRUE))</f>
        <v/>
      </c>
      <c r="F64" s="231" t="s">
        <v>276</v>
      </c>
      <c r="G64" s="245" t="str">
        <f>IF(ISBLANK(Erschaffungshilfe!$E$24),"",ROUNDDOWN(St/10,0)+Erschaffungshilfe!$E$24+(Notizen!$G$56*100)-120-8)</f>
        <v/>
      </c>
      <c r="I64" s="238" t="s">
        <v>961</v>
      </c>
      <c r="J64" s="239" t="s">
        <v>1036</v>
      </c>
      <c r="L64" s="238" t="s">
        <v>961</v>
      </c>
      <c r="M64" s="239" t="s">
        <v>1110</v>
      </c>
    </row>
    <row r="65" spans="1:13" x14ac:dyDescent="0.2">
      <c r="A65" s="175" t="str">
        <f>Waffenliste!J37</f>
        <v>Schlachtbeil</v>
      </c>
      <c r="C65" s="194" t="s">
        <v>22</v>
      </c>
      <c r="D65" s="261" t="str">
        <f>IF(ISBLANK(Erschaffungshilfe!E8),"",Erschaffungshilfe!E8)</f>
        <v/>
      </c>
      <c r="E65" s="195" t="str">
        <f>IF(ISBLANK(Erschaffungshilfe!E8),"",VLOOKUP(Erschaffungshilfe!E8,EigBonus,2,TRUE))</f>
        <v/>
      </c>
      <c r="F65" s="231" t="s">
        <v>1040</v>
      </c>
      <c r="G65" s="245" t="str">
        <f>IF(ISBLANK(Erschaffungshilfe!$E$24),"",ROUNDDOWN(St/10,0)+Erschaffungshilfe!$E$24+(Notizen!$G$57*100)-90)</f>
        <v/>
      </c>
      <c r="I65" s="241">
        <v>1</v>
      </c>
      <c r="J65" s="177" t="s">
        <v>1062</v>
      </c>
      <c r="L65" s="241">
        <v>1</v>
      </c>
      <c r="M65" s="177" t="s">
        <v>1098</v>
      </c>
    </row>
    <row r="66" spans="1:13" x14ac:dyDescent="0.2">
      <c r="A66" s="175" t="str">
        <f>Waffenliste!J39</f>
        <v>Speer</v>
      </c>
      <c r="C66" s="194" t="s">
        <v>23</v>
      </c>
      <c r="D66" s="261" t="str">
        <f>IF(ISBLANK(Erschaffungshilfe!E9),"",IF((ROUNDDOWN(In/10,0)*4-20+Erschaffungshilfe!$E$9)&lt;1,1,IF((ROUNDDOWN(In/10,0)*4-20+Erschaffungshilfe!$E$9)&gt;100,100,ROUNDDOWN(In/10,0)*4-20+Erschaffungshilfe!$E$9)))</f>
        <v/>
      </c>
      <c r="E66" s="195" t="str">
        <f>IF(ISBLANK(Erschaffungshilfe!E9),"",VLOOKUP($D$66,EigBonus,2,TRUE))</f>
        <v/>
      </c>
      <c r="F66" s="231" t="s">
        <v>277</v>
      </c>
      <c r="G66" s="245" t="str">
        <f>IF(ISBLANK(Erschaffungshilfe!$E$24),"",ROUNDDOWN(St/10,0)+Erschaffungshilfe!$E$24+(Notizen!$G$58*100)-90+3)</f>
        <v/>
      </c>
      <c r="I66" s="241">
        <v>6</v>
      </c>
      <c r="J66" s="177" t="s">
        <v>1061</v>
      </c>
      <c r="L66" s="241">
        <v>51</v>
      </c>
      <c r="M66" s="177" t="s">
        <v>1099</v>
      </c>
    </row>
    <row r="67" spans="1:13" x14ac:dyDescent="0.2">
      <c r="A67" s="175" t="str">
        <f>Waffenliste!J40</f>
        <v>Stabkeule</v>
      </c>
      <c r="C67" s="196" t="s">
        <v>24</v>
      </c>
      <c r="D67" s="262" t="str">
        <f>IF(ISBLANK(Erschaffungshilfe!E10),"",IF(((ROUNDDOWN(Ko/10,0)+ROUNDDOWN(In/10,0))*2-20+Erschaffungshilfe!$E$10)&lt;1,1,IF(((ROUNDDOWN(Ko/10,0)+ROUNDDOWN(In/10,0))*2-20+Erschaffungshilfe!$E$10)&gt;100,100,(ROUNDDOWN(Ko/10,0)+ROUNDDOWN(In/10,0))*2-20+Erschaffungshilfe!$E$10)))</f>
        <v/>
      </c>
      <c r="E67" s="197" t="str">
        <f>IF(ISBLANK(Erschaffungshilfe!E10),"",VLOOKUP($D$67,EigBonus,2,TRUE))</f>
        <v/>
      </c>
      <c r="F67" s="198" t="s">
        <v>278</v>
      </c>
      <c r="G67" s="246" t="str">
        <f>IF(ISBLANK(Erschaffungshilfe!$E$24),"",ROUNDDOWN(St/10,0)+Erschaffungshilfe!$E$24+(Notizen!$G$59*100)-90)</f>
        <v/>
      </c>
      <c r="I67" s="241">
        <v>11</v>
      </c>
      <c r="J67" s="177" t="s">
        <v>1060</v>
      </c>
      <c r="L67" s="241">
        <v>56</v>
      </c>
      <c r="M67" s="177" t="s">
        <v>1100</v>
      </c>
    </row>
    <row r="68" spans="1:13" x14ac:dyDescent="0.2">
      <c r="A68" s="175" t="str">
        <f>Waffenliste!J41</f>
        <v>Stielhammer</v>
      </c>
      <c r="I68" s="241">
        <v>16</v>
      </c>
      <c r="J68" s="177" t="s">
        <v>963</v>
      </c>
      <c r="L68" s="241">
        <v>61</v>
      </c>
      <c r="M68" s="177" t="s">
        <v>1101</v>
      </c>
    </row>
    <row r="69" spans="1:13" x14ac:dyDescent="0.2">
      <c r="A69" s="175" t="str">
        <f>Waffenliste!J43</f>
        <v>Stoßspeer</v>
      </c>
      <c r="C69" s="414" t="s">
        <v>980</v>
      </c>
      <c r="D69" s="415"/>
      <c r="F69" s="248" t="s">
        <v>1254</v>
      </c>
      <c r="G69" s="249" t="str">
        <f>IF(OR(Rasse="Berggnom",Rasse="Waldgnom",Erschaffungshilfe!$E$27=20),"Beidhändig",IF(ISBLANK(Erschaffungshilfe!$E$27),"",IF(AND(Erschaffungshilfe!$E$27&gt;=1,Erschaffungshilfe!$E$27&lt;16),"Rechtshänder","Linkshänder")))</f>
        <v/>
      </c>
      <c r="I69" s="241">
        <v>21</v>
      </c>
      <c r="J69" s="177" t="s">
        <v>964</v>
      </c>
      <c r="L69" s="241">
        <v>66</v>
      </c>
      <c r="M69" s="177" t="s">
        <v>1102</v>
      </c>
    </row>
    <row r="70" spans="1:13" x14ac:dyDescent="0.2">
      <c r="A70" s="175" t="str">
        <f>Waffenliste!J44</f>
        <v>Streitaxt</v>
      </c>
      <c r="C70" s="219" t="s">
        <v>1284</v>
      </c>
      <c r="D70" s="220" t="s">
        <v>1</v>
      </c>
      <c r="I70" s="241">
        <v>31</v>
      </c>
      <c r="J70" s="177" t="s">
        <v>965</v>
      </c>
      <c r="L70" s="241">
        <v>70</v>
      </c>
      <c r="M70" s="177" t="s">
        <v>1103</v>
      </c>
    </row>
    <row r="71" spans="1:13" x14ac:dyDescent="0.2">
      <c r="A71" s="175" t="str">
        <f>Waffenliste!J45</f>
        <v>Streitkolben</v>
      </c>
      <c r="C71" s="194">
        <v>0</v>
      </c>
      <c r="D71" s="195">
        <v>1</v>
      </c>
      <c r="F71" s="255" t="s">
        <v>1356</v>
      </c>
      <c r="G71" s="364" t="str">
        <f>IF(ISBLANK(Rasse),"",IF(AND(OR(Rasse="Berggnom",Rasse="Waldgnom"),OR(Typ="Bestienjäger",Typ="Feldscher",Typ="Klingenmagier",Typ="Schattenweber",Typ="Waldhüter",Typ="Zauberkrämer")),(23+Erschaffungshilfe!$E$29)*4,IF(AND(Rasse="Elf",OR(Typ="Bestienjäger",Typ="Feldscher",Typ="Klingenmagier",Typ="Schattenweber",Typ="Waldhüter",Typ="Zauberkrämer")),(23+Erschaffungshilfe!$E$29)*5,IF(AND(Rasse="Zwerg",OR(Typ="Bestienjäger",Typ="Feldscher",Typ="Klingenmagier",Typ="Schattenweber",Typ="Waldhüter",Typ="Zauberkrämer")),(23+Erschaffungshilfe!$E$29)*2,IF(OR(Typ="Bestienjäger",Typ="Feldscher",Typ="Klingenmagier",Typ="Schattenweber",Typ="Waldhüter",Typ="Zauberkrämer"),(23+Erschaffungshilfe!$E$29),IF(OR(Rasse="Berggnom",Rasse="Waldgnom"),(17+Erschaffungshilfe!$E$29)*4,IF(OR(Rasse="Elf"),(17+Erschaffungshilfe!$E$29)*5,IF(OR(Rasse="Zwerg"),(17+Erschaffungshilfe!$E$29)*2,17+Erschaffungshilfe!$E$29))))))))</f>
        <v/>
      </c>
      <c r="I71" s="241">
        <v>41</v>
      </c>
      <c r="J71" s="177" t="s">
        <v>966</v>
      </c>
      <c r="L71" s="241">
        <v>76</v>
      </c>
      <c r="M71" s="177" t="s">
        <v>1104</v>
      </c>
    </row>
    <row r="72" spans="1:13" x14ac:dyDescent="0.2">
      <c r="A72" s="175" t="str">
        <f>Waffenliste!J46</f>
        <v>leichte Armbrust</v>
      </c>
      <c r="C72" s="194">
        <v>100</v>
      </c>
      <c r="D72" s="195">
        <v>2</v>
      </c>
      <c r="I72" s="241">
        <v>51</v>
      </c>
      <c r="J72" s="177" t="s">
        <v>967</v>
      </c>
      <c r="L72" s="241">
        <v>81</v>
      </c>
      <c r="M72" s="177" t="s">
        <v>1105</v>
      </c>
    </row>
    <row r="73" spans="1:13" x14ac:dyDescent="0.2">
      <c r="A73" s="175" t="str">
        <f>Waffenliste!J47</f>
        <v>schwere Armbrust</v>
      </c>
      <c r="C73" s="194">
        <v>250</v>
      </c>
      <c r="D73" s="195">
        <v>3</v>
      </c>
      <c r="I73" s="241">
        <v>56</v>
      </c>
      <c r="J73" s="177" t="s">
        <v>968</v>
      </c>
      <c r="K73" s="240"/>
      <c r="L73" s="241">
        <v>86</v>
      </c>
      <c r="M73" s="177" t="s">
        <v>1106</v>
      </c>
    </row>
    <row r="74" spans="1:13" x14ac:dyDescent="0.2">
      <c r="A74" s="175" t="str">
        <f>Waffenliste!J48</f>
        <v>Handarmbrust</v>
      </c>
      <c r="C74" s="194">
        <v>500</v>
      </c>
      <c r="D74" s="195">
        <v>4</v>
      </c>
      <c r="I74" s="241">
        <v>61</v>
      </c>
      <c r="J74" s="177" t="s">
        <v>969</v>
      </c>
      <c r="L74" s="241">
        <v>91</v>
      </c>
      <c r="M74" s="177" t="s">
        <v>1107</v>
      </c>
    </row>
    <row r="75" spans="1:13" x14ac:dyDescent="0.2">
      <c r="A75" s="175" t="str">
        <f>Waffenliste!J49</f>
        <v>kurzes Blasrohr</v>
      </c>
      <c r="C75" s="194">
        <v>750</v>
      </c>
      <c r="D75" s="195">
        <v>5</v>
      </c>
      <c r="I75" s="241">
        <v>66</v>
      </c>
      <c r="J75" s="177" t="s">
        <v>970</v>
      </c>
      <c r="L75" s="241">
        <v>96</v>
      </c>
      <c r="M75" s="177" t="s">
        <v>1108</v>
      </c>
    </row>
    <row r="76" spans="1:13" x14ac:dyDescent="0.2">
      <c r="A76" s="175" t="str">
        <f>Waffenliste!J50</f>
        <v>langes Blasrohr</v>
      </c>
      <c r="C76" s="233">
        <v>1000</v>
      </c>
      <c r="D76" s="195">
        <v>6</v>
      </c>
      <c r="I76" s="241">
        <v>71</v>
      </c>
      <c r="J76" s="177" t="s">
        <v>971</v>
      </c>
      <c r="L76" s="251" t="s">
        <v>182</v>
      </c>
      <c r="M76" s="252" t="s">
        <v>1109</v>
      </c>
    </row>
    <row r="77" spans="1:13" x14ac:dyDescent="0.2">
      <c r="A77" s="175" t="str">
        <f>Waffenliste!J51</f>
        <v>Bogen</v>
      </c>
      <c r="C77" s="233">
        <v>1250</v>
      </c>
      <c r="D77" s="195">
        <v>7</v>
      </c>
      <c r="I77" s="241">
        <v>76</v>
      </c>
      <c r="J77" s="177" t="s">
        <v>972</v>
      </c>
      <c r="L77" s="256">
        <f>Erschaffungshilfe!B42</f>
        <v>0</v>
      </c>
      <c r="M77" s="257" t="str">
        <f>IF(L77&gt;0,VLOOKUP(L77,L65:M75,2,TRUE),"Prozentwurf machen!")</f>
        <v>Prozentwurf machen!</v>
      </c>
    </row>
    <row r="78" spans="1:13" x14ac:dyDescent="0.2">
      <c r="A78" s="175" t="str">
        <f>Waffenliste!J52</f>
        <v>Kompositbogen</v>
      </c>
      <c r="C78" s="233">
        <v>1500</v>
      </c>
      <c r="D78" s="195">
        <v>8</v>
      </c>
      <c r="I78" s="241">
        <v>81</v>
      </c>
      <c r="J78" s="177" t="s">
        <v>973</v>
      </c>
    </row>
    <row r="79" spans="1:13" x14ac:dyDescent="0.2">
      <c r="A79" s="175" t="str">
        <f>Waffenliste!J53</f>
        <v>Kurzbogen</v>
      </c>
      <c r="C79" s="233">
        <v>1750</v>
      </c>
      <c r="D79" s="195">
        <v>9</v>
      </c>
      <c r="I79" s="241">
        <v>86</v>
      </c>
      <c r="J79" s="177" t="s">
        <v>974</v>
      </c>
    </row>
    <row r="80" spans="1:13" x14ac:dyDescent="0.2">
      <c r="A80" s="175" t="str">
        <f>Waffenliste!J54</f>
        <v>Langbogen</v>
      </c>
      <c r="C80" s="233">
        <v>2000</v>
      </c>
      <c r="D80" s="195">
        <v>10</v>
      </c>
      <c r="I80" s="241">
        <v>91</v>
      </c>
      <c r="J80" s="177" t="s">
        <v>975</v>
      </c>
    </row>
    <row r="81" spans="1:10" x14ac:dyDescent="0.2">
      <c r="A81" s="175" t="str">
        <f>Waffenliste!J57</f>
        <v>Schleuder</v>
      </c>
      <c r="C81" s="233">
        <v>2500</v>
      </c>
      <c r="D81" s="195">
        <v>11</v>
      </c>
      <c r="I81" s="241">
        <v>96</v>
      </c>
      <c r="J81" s="177" t="str">
        <f>IF(Wk&lt;90,CONCATENATE("Berserkergang"," + ",18-ROUNDDOWN(Wk/5,0)),"Kein Berserkergang")</f>
        <v>Kein Berserkergang</v>
      </c>
    </row>
    <row r="82" spans="1:10" x14ac:dyDescent="0.2">
      <c r="A82" s="175" t="str">
        <f>Waffenliste!J58</f>
        <v>Stockschleuder</v>
      </c>
      <c r="C82" s="233">
        <v>3000</v>
      </c>
      <c r="D82" s="195">
        <v>12</v>
      </c>
      <c r="I82" s="241">
        <v>100</v>
      </c>
      <c r="J82" s="250" t="s">
        <v>899</v>
      </c>
    </row>
    <row r="83" spans="1:10" x14ac:dyDescent="0.2">
      <c r="A83" s="175" t="str">
        <f>Waffenliste!J59</f>
        <v>Wurfaxt</v>
      </c>
      <c r="C83" s="233">
        <v>3500</v>
      </c>
      <c r="D83" s="195">
        <v>13</v>
      </c>
      <c r="I83" s="251" t="s">
        <v>182</v>
      </c>
      <c r="J83" s="252" t="s">
        <v>960</v>
      </c>
    </row>
    <row r="84" spans="1:10" x14ac:dyDescent="0.2">
      <c r="A84" s="175" t="str">
        <f>Waffenliste!J60</f>
        <v>Wurfeisen</v>
      </c>
      <c r="C84" s="233">
        <v>4000</v>
      </c>
      <c r="D84" s="195">
        <v>14</v>
      </c>
      <c r="I84" s="256">
        <f>Erschaffungshilfe!E17</f>
        <v>0</v>
      </c>
      <c r="J84" s="257" t="str">
        <f>IF(I84&gt;0,VLOOKUP(I84,I65:J82,2,TRUE),"Prozentwurf machen!")</f>
        <v>Prozentwurf machen!</v>
      </c>
    </row>
    <row r="85" spans="1:10" x14ac:dyDescent="0.2">
      <c r="A85" s="175" t="str">
        <f>Waffenliste!J61</f>
        <v>Wurfhammer</v>
      </c>
      <c r="C85" s="233">
        <v>4500</v>
      </c>
      <c r="D85" s="195">
        <v>15</v>
      </c>
    </row>
    <row r="86" spans="1:10" x14ac:dyDescent="0.2">
      <c r="A86" s="175" t="str">
        <f>Waffenliste!J62</f>
        <v>Wurfkeule</v>
      </c>
      <c r="C86" s="233">
        <v>5000</v>
      </c>
      <c r="D86" s="195">
        <v>16</v>
      </c>
    </row>
    <row r="87" spans="1:10" x14ac:dyDescent="0.2">
      <c r="A87" s="175" t="str">
        <f>Waffenliste!J63</f>
        <v>Wurfmesser</v>
      </c>
      <c r="C87" s="233">
        <v>6000</v>
      </c>
      <c r="D87" s="195">
        <v>17</v>
      </c>
    </row>
    <row r="88" spans="1:10" x14ac:dyDescent="0.2">
      <c r="A88" s="175" t="str">
        <f>Waffenliste!J64</f>
        <v>Wurfpfeil</v>
      </c>
      <c r="C88" s="233">
        <v>7000</v>
      </c>
      <c r="D88" s="195">
        <v>18</v>
      </c>
    </row>
    <row r="89" spans="1:10" x14ac:dyDescent="0.2">
      <c r="A89" s="175" t="str">
        <f>Waffenliste!J65</f>
        <v>Wurfscheibe</v>
      </c>
      <c r="C89" s="233">
        <v>8000</v>
      </c>
      <c r="D89" s="195">
        <v>19</v>
      </c>
    </row>
    <row r="90" spans="1:10" x14ac:dyDescent="0.2">
      <c r="A90" s="175" t="str">
        <f>Waffenliste!J66</f>
        <v>Wurfstern</v>
      </c>
      <c r="C90" s="233">
        <v>9000</v>
      </c>
      <c r="D90" s="195">
        <v>20</v>
      </c>
    </row>
    <row r="91" spans="1:10" x14ac:dyDescent="0.2">
      <c r="A91" s="175" t="str">
        <f>Waffenliste!J67</f>
        <v>Speerschleuder</v>
      </c>
      <c r="C91" s="233">
        <v>10000</v>
      </c>
      <c r="D91" s="195">
        <v>21</v>
      </c>
    </row>
    <row r="92" spans="1:10" x14ac:dyDescent="0.2">
      <c r="A92" s="175" t="str">
        <f>Waffenliste!J68</f>
        <v>Wurfspeer</v>
      </c>
      <c r="C92" s="233">
        <v>12500</v>
      </c>
      <c r="D92" s="195">
        <v>22</v>
      </c>
    </row>
    <row r="93" spans="1:10" x14ac:dyDescent="0.2">
      <c r="A93" s="187" t="str">
        <f>Waffenliste!J69</f>
        <v>Wurfspieß</v>
      </c>
      <c r="C93" s="233">
        <v>15000</v>
      </c>
      <c r="D93" s="195">
        <v>23</v>
      </c>
    </row>
    <row r="94" spans="1:10" x14ac:dyDescent="0.2">
      <c r="C94" s="233">
        <v>17500</v>
      </c>
      <c r="D94" s="195">
        <v>24</v>
      </c>
    </row>
    <row r="95" spans="1:10" x14ac:dyDescent="0.2">
      <c r="A95" s="169" t="s">
        <v>1171</v>
      </c>
      <c r="C95" s="233">
        <v>20000</v>
      </c>
      <c r="D95" s="195">
        <v>25</v>
      </c>
    </row>
    <row r="96" spans="1:10" x14ac:dyDescent="0.2">
      <c r="A96" s="175" t="s">
        <v>1161</v>
      </c>
      <c r="C96" s="233">
        <v>22500</v>
      </c>
      <c r="D96" s="195">
        <v>26</v>
      </c>
    </row>
    <row r="97" spans="1:4" x14ac:dyDescent="0.2">
      <c r="A97" s="175" t="s">
        <v>1162</v>
      </c>
      <c r="C97" s="233">
        <v>25000</v>
      </c>
      <c r="D97" s="195">
        <v>27</v>
      </c>
    </row>
    <row r="98" spans="1:4" x14ac:dyDescent="0.2">
      <c r="A98" s="187" t="s">
        <v>1163</v>
      </c>
      <c r="C98" s="233">
        <v>30000</v>
      </c>
      <c r="D98" s="195">
        <v>28</v>
      </c>
    </row>
    <row r="99" spans="1:4" x14ac:dyDescent="0.2">
      <c r="C99" s="233">
        <v>35000</v>
      </c>
      <c r="D99" s="195">
        <v>29</v>
      </c>
    </row>
    <row r="100" spans="1:4" x14ac:dyDescent="0.2">
      <c r="A100" s="169" t="s">
        <v>1219</v>
      </c>
      <c r="C100" s="233">
        <v>40000</v>
      </c>
      <c r="D100" s="195">
        <v>30</v>
      </c>
    </row>
    <row r="101" spans="1:4" x14ac:dyDescent="0.2">
      <c r="A101" s="175" t="s">
        <v>342</v>
      </c>
      <c r="C101" s="233">
        <v>45000</v>
      </c>
      <c r="D101" s="195">
        <v>31</v>
      </c>
    </row>
    <row r="102" spans="1:4" x14ac:dyDescent="0.2">
      <c r="A102" s="175" t="s">
        <v>511</v>
      </c>
      <c r="C102" s="233">
        <v>50000</v>
      </c>
      <c r="D102" s="195">
        <v>32</v>
      </c>
    </row>
    <row r="103" spans="1:4" x14ac:dyDescent="0.2">
      <c r="A103" s="187" t="s">
        <v>184</v>
      </c>
      <c r="C103" s="233">
        <v>55000</v>
      </c>
      <c r="D103" s="195">
        <v>33</v>
      </c>
    </row>
    <row r="104" spans="1:4" x14ac:dyDescent="0.2">
      <c r="C104" s="233">
        <v>60000</v>
      </c>
      <c r="D104" s="195">
        <v>34</v>
      </c>
    </row>
    <row r="105" spans="1:4" x14ac:dyDescent="0.2">
      <c r="C105" s="233">
        <v>65000</v>
      </c>
      <c r="D105" s="195">
        <v>35</v>
      </c>
    </row>
    <row r="106" spans="1:4" x14ac:dyDescent="0.2">
      <c r="C106" s="233">
        <v>70000</v>
      </c>
      <c r="D106" s="195">
        <v>36</v>
      </c>
    </row>
    <row r="107" spans="1:4" x14ac:dyDescent="0.2">
      <c r="C107" s="233">
        <v>75000</v>
      </c>
      <c r="D107" s="195">
        <v>37</v>
      </c>
    </row>
    <row r="108" spans="1:4" x14ac:dyDescent="0.2">
      <c r="C108" s="233">
        <v>80000</v>
      </c>
      <c r="D108" s="195">
        <v>38</v>
      </c>
    </row>
    <row r="109" spans="1:4" x14ac:dyDescent="0.2">
      <c r="C109" s="233">
        <v>85000</v>
      </c>
      <c r="D109" s="195">
        <v>39</v>
      </c>
    </row>
    <row r="110" spans="1:4" x14ac:dyDescent="0.2">
      <c r="C110" s="233">
        <v>90000</v>
      </c>
      <c r="D110" s="195">
        <v>40</v>
      </c>
    </row>
    <row r="111" spans="1:4" x14ac:dyDescent="0.2">
      <c r="C111" s="233">
        <v>95000</v>
      </c>
      <c r="D111" s="195">
        <v>41</v>
      </c>
    </row>
    <row r="112" spans="1:4" x14ac:dyDescent="0.2">
      <c r="C112" s="233">
        <v>100000</v>
      </c>
      <c r="D112" s="195">
        <v>42</v>
      </c>
    </row>
    <row r="113" spans="3:4" x14ac:dyDescent="0.2">
      <c r="C113" s="233">
        <v>105000</v>
      </c>
      <c r="D113" s="195">
        <v>43</v>
      </c>
    </row>
    <row r="114" spans="3:4" x14ac:dyDescent="0.2">
      <c r="C114" s="233">
        <v>110000</v>
      </c>
      <c r="D114" s="195">
        <v>44</v>
      </c>
    </row>
    <row r="115" spans="3:4" x14ac:dyDescent="0.2">
      <c r="C115" s="233">
        <v>115000</v>
      </c>
      <c r="D115" s="195">
        <v>45</v>
      </c>
    </row>
    <row r="116" spans="3:4" x14ac:dyDescent="0.2">
      <c r="C116" s="233">
        <v>120000</v>
      </c>
      <c r="D116" s="195">
        <v>46</v>
      </c>
    </row>
    <row r="117" spans="3:4" x14ac:dyDescent="0.2">
      <c r="C117" s="233">
        <v>125000</v>
      </c>
      <c r="D117" s="195">
        <v>47</v>
      </c>
    </row>
    <row r="118" spans="3:4" x14ac:dyDescent="0.2">
      <c r="C118" s="233">
        <v>130000</v>
      </c>
      <c r="D118" s="195">
        <v>48</v>
      </c>
    </row>
    <row r="119" spans="3:4" x14ac:dyDescent="0.2">
      <c r="C119" s="233">
        <v>135000</v>
      </c>
      <c r="D119" s="195">
        <v>49</v>
      </c>
    </row>
    <row r="120" spans="3:4" x14ac:dyDescent="0.2">
      <c r="C120" s="233">
        <v>140000</v>
      </c>
      <c r="D120" s="195">
        <v>50</v>
      </c>
    </row>
    <row r="121" spans="3:4" x14ac:dyDescent="0.2">
      <c r="C121" s="233">
        <v>145000</v>
      </c>
      <c r="D121" s="195">
        <v>51</v>
      </c>
    </row>
    <row r="122" spans="3:4" x14ac:dyDescent="0.2">
      <c r="C122" s="247">
        <v>150000</v>
      </c>
      <c r="D122" s="197">
        <v>52</v>
      </c>
    </row>
  </sheetData>
  <sheetProtection password="D5DE" sheet="1" objects="1" scenarios="1" selectLockedCells="1" selectUnlockedCells="1"/>
  <sortState ref="O3:AB30">
    <sortCondition ref="O2"/>
  </sortState>
  <conditionalFormatting sqref="D46:E56">
    <cfRule type="cellIs" dxfId="0" priority="1" operator="greaterThan">
      <formula>-1</formula>
    </cfRule>
  </conditionalFormatting>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tabColor rgb="FFFFFF00"/>
  </sheetPr>
  <dimension ref="A1:P62"/>
  <sheetViews>
    <sheetView workbookViewId="0">
      <selection activeCell="E2" sqref="E2"/>
    </sheetView>
  </sheetViews>
  <sheetFormatPr baseColWidth="10" defaultRowHeight="12.75" x14ac:dyDescent="0.2"/>
  <cols>
    <col min="1" max="1" width="77.85546875" style="33" bestFit="1" customWidth="1"/>
    <col min="2" max="2" width="15" style="33" bestFit="1" customWidth="1"/>
    <col min="3" max="3" width="5.7109375" style="33" customWidth="1"/>
    <col min="4" max="4" width="47.28515625" style="33" customWidth="1"/>
    <col min="5" max="5" width="7.85546875" style="33" customWidth="1"/>
    <col min="6" max="6" width="5.7109375" style="33" customWidth="1"/>
    <col min="7" max="7" width="11" style="33" bestFit="1" customWidth="1"/>
    <col min="8" max="8" width="5.42578125" style="33" customWidth="1"/>
    <col min="9" max="9" width="5.7109375" style="33" customWidth="1"/>
    <col min="10" max="10" width="11.42578125" style="33" customWidth="1"/>
    <col min="11" max="15" width="11.42578125" style="167"/>
    <col min="16" max="16" width="5" style="33" customWidth="1"/>
    <col min="17" max="16384" width="11.42578125" style="33"/>
  </cols>
  <sheetData>
    <row r="1" spans="1:16" x14ac:dyDescent="0.2">
      <c r="A1" s="264" t="s">
        <v>1358</v>
      </c>
      <c r="B1" s="265" t="s">
        <v>1026</v>
      </c>
      <c r="D1" s="227" t="s">
        <v>1033</v>
      </c>
      <c r="E1" s="266" t="s">
        <v>182</v>
      </c>
      <c r="G1" s="267" t="s">
        <v>1035</v>
      </c>
      <c r="H1" s="268" t="s">
        <v>183</v>
      </c>
      <c r="J1" s="328" t="s">
        <v>1286</v>
      </c>
      <c r="K1" s="329"/>
      <c r="L1" s="329"/>
      <c r="M1" s="329"/>
      <c r="N1" s="329"/>
      <c r="O1" s="329"/>
      <c r="P1" s="330"/>
    </row>
    <row r="2" spans="1:16" x14ac:dyDescent="0.2">
      <c r="A2" s="269" t="s">
        <v>1380</v>
      </c>
      <c r="B2" s="250" t="s">
        <v>977</v>
      </c>
      <c r="D2" s="269" t="s">
        <v>184</v>
      </c>
      <c r="E2" s="53"/>
      <c r="G2" s="269" t="s">
        <v>239</v>
      </c>
      <c r="H2" s="54"/>
      <c r="J2" s="331" t="s">
        <v>151</v>
      </c>
      <c r="K2" s="332"/>
      <c r="L2" s="332"/>
      <c r="M2" s="332"/>
      <c r="N2" s="333"/>
      <c r="O2" s="332"/>
      <c r="P2" s="298"/>
    </row>
    <row r="3" spans="1:16" x14ac:dyDescent="0.2">
      <c r="A3" s="231" t="s">
        <v>1381</v>
      </c>
      <c r="B3" s="270" t="s">
        <v>978</v>
      </c>
      <c r="D3" s="231" t="s">
        <v>185</v>
      </c>
      <c r="E3" s="53"/>
      <c r="G3" s="231" t="s">
        <v>240</v>
      </c>
      <c r="H3" s="54"/>
      <c r="J3" s="299" t="s">
        <v>1257</v>
      </c>
      <c r="K3" s="179"/>
      <c r="L3" s="179"/>
      <c r="M3" s="179"/>
      <c r="N3" s="334"/>
      <c r="O3" s="179"/>
      <c r="P3" s="302"/>
    </row>
    <row r="4" spans="1:16" x14ac:dyDescent="0.2">
      <c r="A4" s="269" t="s">
        <v>1387</v>
      </c>
      <c r="B4" s="270" t="s">
        <v>978</v>
      </c>
      <c r="D4" s="269" t="s">
        <v>186</v>
      </c>
      <c r="E4" s="53"/>
      <c r="G4" s="269" t="s">
        <v>241</v>
      </c>
      <c r="H4" s="54"/>
      <c r="J4" s="294" t="s">
        <v>1258</v>
      </c>
      <c r="K4" s="332"/>
      <c r="L4" s="332"/>
      <c r="M4" s="332"/>
      <c r="N4" s="333"/>
      <c r="O4" s="332"/>
      <c r="P4" s="298"/>
    </row>
    <row r="5" spans="1:16" x14ac:dyDescent="0.2">
      <c r="A5" s="231" t="s">
        <v>1382</v>
      </c>
      <c r="B5" s="270" t="s">
        <v>978</v>
      </c>
      <c r="D5" s="231" t="s">
        <v>187</v>
      </c>
      <c r="E5" s="53"/>
      <c r="G5" s="231" t="s">
        <v>242</v>
      </c>
      <c r="H5" s="54"/>
      <c r="J5" s="299" t="s">
        <v>1261</v>
      </c>
      <c r="K5" s="179"/>
      <c r="L5" s="179"/>
      <c r="M5" s="179"/>
      <c r="N5" s="334"/>
      <c r="O5" s="179"/>
      <c r="P5" s="302"/>
    </row>
    <row r="6" spans="1:16" x14ac:dyDescent="0.2">
      <c r="A6" s="269" t="s">
        <v>1383</v>
      </c>
      <c r="B6" s="271" t="s">
        <v>1095</v>
      </c>
      <c r="D6" s="269" t="s">
        <v>188</v>
      </c>
      <c r="E6" s="53"/>
      <c r="G6" s="269" t="s">
        <v>243</v>
      </c>
      <c r="H6" s="54"/>
      <c r="J6" s="294" t="s">
        <v>1259</v>
      </c>
      <c r="K6" s="332"/>
      <c r="L6" s="332"/>
      <c r="M6" s="332"/>
      <c r="N6" s="333"/>
      <c r="O6" s="332"/>
      <c r="P6" s="298"/>
    </row>
    <row r="7" spans="1:16" x14ac:dyDescent="0.2">
      <c r="A7" s="231" t="s">
        <v>1386</v>
      </c>
      <c r="B7" s="272" t="s">
        <v>977</v>
      </c>
      <c r="D7" s="231" t="s">
        <v>190</v>
      </c>
      <c r="E7" s="53"/>
      <c r="G7" s="231" t="s">
        <v>244</v>
      </c>
      <c r="H7" s="54"/>
      <c r="J7" s="299" t="s">
        <v>1260</v>
      </c>
      <c r="K7" s="179"/>
      <c r="L7" s="179"/>
      <c r="M7" s="179"/>
      <c r="N7" s="334"/>
      <c r="O7" s="179"/>
      <c r="P7" s="302"/>
    </row>
    <row r="8" spans="1:16" x14ac:dyDescent="0.2">
      <c r="A8" s="269" t="s">
        <v>1384</v>
      </c>
      <c r="B8" s="272" t="s">
        <v>977</v>
      </c>
      <c r="D8" s="269" t="s">
        <v>176</v>
      </c>
      <c r="E8" s="53"/>
      <c r="G8" s="269" t="s">
        <v>245</v>
      </c>
      <c r="H8" s="54"/>
      <c r="J8" s="294" t="s">
        <v>1351</v>
      </c>
      <c r="K8" s="332"/>
      <c r="L8" s="332"/>
      <c r="M8" s="332"/>
      <c r="N8" s="333"/>
      <c r="O8" s="332"/>
      <c r="P8" s="298"/>
    </row>
    <row r="9" spans="1:16" x14ac:dyDescent="0.2">
      <c r="A9" s="231" t="s">
        <v>1385</v>
      </c>
      <c r="B9" s="273" t="s">
        <v>1236</v>
      </c>
      <c r="D9" s="231" t="s">
        <v>1232</v>
      </c>
      <c r="E9" s="53"/>
      <c r="G9" s="231" t="s">
        <v>246</v>
      </c>
      <c r="H9" s="54"/>
      <c r="J9" s="299" t="s">
        <v>1262</v>
      </c>
      <c r="K9" s="179"/>
      <c r="L9" s="179"/>
      <c r="M9" s="179"/>
      <c r="N9" s="335"/>
      <c r="O9" s="179"/>
      <c r="P9" s="302"/>
    </row>
    <row r="10" spans="1:16" x14ac:dyDescent="0.2">
      <c r="A10" s="269" t="s">
        <v>1379</v>
      </c>
      <c r="B10" s="271" t="s">
        <v>1095</v>
      </c>
      <c r="D10" s="274" t="s">
        <v>1233</v>
      </c>
      <c r="E10" s="53"/>
      <c r="G10" s="269" t="s">
        <v>247</v>
      </c>
      <c r="H10" s="54"/>
      <c r="J10" s="331" t="s">
        <v>1287</v>
      </c>
      <c r="K10" s="332"/>
      <c r="L10" s="332"/>
      <c r="M10" s="332"/>
      <c r="N10" s="336"/>
      <c r="O10" s="332"/>
      <c r="P10" s="298"/>
    </row>
    <row r="11" spans="1:16" x14ac:dyDescent="0.2">
      <c r="A11" s="231" t="s">
        <v>1359</v>
      </c>
      <c r="B11" s="273" t="s">
        <v>1095</v>
      </c>
      <c r="E11" s="167"/>
      <c r="F11" s="240"/>
      <c r="G11" s="231" t="s">
        <v>248</v>
      </c>
      <c r="H11" s="54"/>
      <c r="I11" s="240"/>
      <c r="J11" s="299" t="s">
        <v>1263</v>
      </c>
      <c r="K11" s="179"/>
      <c r="L11" s="179"/>
      <c r="M11" s="179"/>
      <c r="N11" s="335"/>
      <c r="O11" s="179"/>
      <c r="P11" s="302"/>
    </row>
    <row r="12" spans="1:16" x14ac:dyDescent="0.2">
      <c r="A12" s="269" t="s">
        <v>1360</v>
      </c>
      <c r="B12" s="272" t="s">
        <v>977</v>
      </c>
      <c r="D12" s="275" t="s">
        <v>1235</v>
      </c>
      <c r="E12" s="53"/>
      <c r="G12" s="269" t="s">
        <v>249</v>
      </c>
      <c r="H12" s="54"/>
      <c r="J12" s="294" t="s">
        <v>1760</v>
      </c>
      <c r="K12" s="332"/>
      <c r="L12" s="332"/>
      <c r="M12" s="332"/>
      <c r="N12" s="336"/>
      <c r="O12" s="332"/>
      <c r="P12" s="298"/>
    </row>
    <row r="13" spans="1:16" x14ac:dyDescent="0.2">
      <c r="A13" s="231" t="s">
        <v>1388</v>
      </c>
      <c r="B13" s="270" t="s">
        <v>978</v>
      </c>
      <c r="E13" s="167"/>
      <c r="F13" s="276"/>
      <c r="G13" s="231" t="s">
        <v>250</v>
      </c>
      <c r="H13" s="54"/>
      <c r="I13" s="276"/>
      <c r="J13" s="231" t="s">
        <v>1761</v>
      </c>
      <c r="K13" s="179"/>
      <c r="L13" s="179"/>
      <c r="M13" s="179"/>
      <c r="N13" s="335"/>
      <c r="O13" s="179"/>
      <c r="P13" s="302"/>
    </row>
    <row r="14" spans="1:16" x14ac:dyDescent="0.2">
      <c r="A14" s="269" t="s">
        <v>1372</v>
      </c>
      <c r="B14" s="272" t="s">
        <v>977</v>
      </c>
      <c r="D14" s="213" t="s">
        <v>1234</v>
      </c>
      <c r="E14" s="1229"/>
      <c r="F14" s="277"/>
      <c r="G14" s="269" t="s">
        <v>251</v>
      </c>
      <c r="H14" s="54"/>
      <c r="I14" s="277"/>
      <c r="J14" s="294" t="s">
        <v>1350</v>
      </c>
      <c r="K14" s="332"/>
      <c r="L14" s="332"/>
      <c r="M14" s="332"/>
      <c r="N14" s="336"/>
      <c r="O14" s="332"/>
      <c r="P14" s="298"/>
    </row>
    <row r="15" spans="1:16" x14ac:dyDescent="0.2">
      <c r="A15" s="231" t="s">
        <v>1361</v>
      </c>
      <c r="B15" s="270" t="s">
        <v>978</v>
      </c>
      <c r="D15" s="187" t="s">
        <v>1246</v>
      </c>
      <c r="E15" s="1230"/>
      <c r="F15" s="278"/>
      <c r="G15" s="231" t="s">
        <v>252</v>
      </c>
      <c r="H15" s="54"/>
      <c r="I15" s="278"/>
      <c r="J15" s="299" t="s">
        <v>1285</v>
      </c>
      <c r="K15" s="179"/>
      <c r="L15" s="179"/>
      <c r="M15" s="179"/>
      <c r="N15" s="335"/>
      <c r="O15" s="179"/>
      <c r="P15" s="302"/>
    </row>
    <row r="16" spans="1:16" x14ac:dyDescent="0.2">
      <c r="A16" s="269" t="s">
        <v>1362</v>
      </c>
      <c r="B16" s="270" t="s">
        <v>978</v>
      </c>
      <c r="E16" s="167"/>
      <c r="F16" s="277"/>
      <c r="G16" s="269" t="s">
        <v>253</v>
      </c>
      <c r="H16" s="54"/>
      <c r="I16" s="277"/>
      <c r="J16" s="331" t="s">
        <v>158</v>
      </c>
      <c r="K16" s="332"/>
      <c r="L16" s="332"/>
      <c r="M16" s="332"/>
      <c r="N16" s="336"/>
      <c r="O16" s="332"/>
      <c r="P16" s="298"/>
    </row>
    <row r="17" spans="1:16" x14ac:dyDescent="0.2">
      <c r="A17" s="231" t="s">
        <v>1363</v>
      </c>
      <c r="B17" s="272" t="s">
        <v>977</v>
      </c>
      <c r="D17" s="173" t="s">
        <v>1239</v>
      </c>
      <c r="E17" s="53"/>
      <c r="F17" s="277"/>
      <c r="G17" s="231" t="s">
        <v>254</v>
      </c>
      <c r="H17" s="54"/>
      <c r="I17" s="277"/>
      <c r="J17" s="299" t="s">
        <v>1264</v>
      </c>
      <c r="K17" s="179"/>
      <c r="L17" s="179"/>
      <c r="M17" s="179"/>
      <c r="N17" s="335"/>
      <c r="O17" s="179"/>
      <c r="P17" s="302"/>
    </row>
    <row r="18" spans="1:16" x14ac:dyDescent="0.2">
      <c r="A18" s="269" t="s">
        <v>1364</v>
      </c>
      <c r="B18" s="271" t="s">
        <v>1095</v>
      </c>
      <c r="E18" s="167"/>
      <c r="F18" s="277"/>
      <c r="G18" s="269" t="s">
        <v>255</v>
      </c>
      <c r="H18" s="54"/>
      <c r="I18" s="277"/>
      <c r="J18" s="294" t="s">
        <v>1265</v>
      </c>
      <c r="K18" s="332"/>
      <c r="L18" s="332"/>
      <c r="M18" s="332"/>
      <c r="N18" s="336"/>
      <c r="O18" s="332"/>
      <c r="P18" s="298"/>
    </row>
    <row r="19" spans="1:16" x14ac:dyDescent="0.2">
      <c r="A19" s="231" t="s">
        <v>1365</v>
      </c>
      <c r="B19" s="272" t="s">
        <v>977</v>
      </c>
      <c r="D19" s="279" t="s">
        <v>1238</v>
      </c>
      <c r="E19" s="44"/>
      <c r="F19" s="277"/>
      <c r="G19" s="231" t="s">
        <v>256</v>
      </c>
      <c r="H19" s="54"/>
      <c r="I19" s="277"/>
      <c r="J19" s="299" t="s">
        <v>1266</v>
      </c>
      <c r="K19" s="179"/>
      <c r="L19" s="179"/>
      <c r="M19" s="179"/>
      <c r="N19" s="179"/>
      <c r="O19" s="179"/>
      <c r="P19" s="302"/>
    </row>
    <row r="20" spans="1:16" x14ac:dyDescent="0.2">
      <c r="A20" s="269" t="s">
        <v>1366</v>
      </c>
      <c r="B20" s="270" t="s">
        <v>978</v>
      </c>
      <c r="E20" s="167"/>
      <c r="F20" s="277"/>
      <c r="G20" s="269" t="s">
        <v>257</v>
      </c>
      <c r="H20" s="54"/>
      <c r="I20" s="277"/>
      <c r="J20" s="294" t="s">
        <v>1267</v>
      </c>
      <c r="K20" s="332"/>
      <c r="L20" s="332"/>
      <c r="M20" s="332"/>
      <c r="N20" s="332"/>
      <c r="O20" s="332"/>
      <c r="P20" s="298"/>
    </row>
    <row r="21" spans="1:16" x14ac:dyDescent="0.2">
      <c r="A21" s="231" t="s">
        <v>1367</v>
      </c>
      <c r="B21" s="272" t="s">
        <v>977</v>
      </c>
      <c r="D21" s="213" t="s">
        <v>1037</v>
      </c>
      <c r="E21" s="1229"/>
      <c r="F21" s="277"/>
      <c r="G21" s="231" t="s">
        <v>258</v>
      </c>
      <c r="H21" s="54"/>
      <c r="I21" s="277"/>
      <c r="J21" s="299" t="s">
        <v>1268</v>
      </c>
      <c r="K21" s="179"/>
      <c r="L21" s="179"/>
      <c r="M21" s="179"/>
      <c r="N21" s="179"/>
      <c r="O21" s="179"/>
      <c r="P21" s="302"/>
    </row>
    <row r="22" spans="1:16" x14ac:dyDescent="0.2">
      <c r="A22" s="269" t="s">
        <v>1027</v>
      </c>
      <c r="B22" s="270" t="s">
        <v>978</v>
      </c>
      <c r="D22" s="187" t="s">
        <v>1247</v>
      </c>
      <c r="E22" s="1230"/>
      <c r="F22" s="277"/>
      <c r="G22" s="269" t="s">
        <v>259</v>
      </c>
      <c r="H22" s="54"/>
      <c r="I22" s="277"/>
      <c r="J22" s="337" t="s">
        <v>1269</v>
      </c>
      <c r="K22" s="338"/>
      <c r="L22" s="338"/>
      <c r="M22" s="338"/>
      <c r="N22" s="338"/>
      <c r="O22" s="338"/>
      <c r="P22" s="339"/>
    </row>
    <row r="23" spans="1:16" x14ac:dyDescent="0.2">
      <c r="A23" s="231" t="s">
        <v>1368</v>
      </c>
      <c r="B23" s="270" t="s">
        <v>978</v>
      </c>
      <c r="E23" s="167"/>
      <c r="G23" s="231" t="s">
        <v>260</v>
      </c>
      <c r="H23" s="54"/>
    </row>
    <row r="24" spans="1:16" x14ac:dyDescent="0.2">
      <c r="A24" s="269" t="s">
        <v>1374</v>
      </c>
      <c r="B24" s="271" t="s">
        <v>1095</v>
      </c>
      <c r="D24" s="213" t="s">
        <v>1038</v>
      </c>
      <c r="E24" s="1229"/>
      <c r="G24" s="269" t="s">
        <v>261</v>
      </c>
      <c r="H24" s="54"/>
    </row>
    <row r="25" spans="1:16" x14ac:dyDescent="0.2">
      <c r="A25" s="231" t="s">
        <v>1369</v>
      </c>
      <c r="B25" s="280" t="s">
        <v>1024</v>
      </c>
      <c r="D25" s="187" t="s">
        <v>1248</v>
      </c>
      <c r="E25" s="1230"/>
      <c r="G25" s="231" t="s">
        <v>262</v>
      </c>
      <c r="H25" s="54"/>
    </row>
    <row r="26" spans="1:16" x14ac:dyDescent="0.2">
      <c r="A26" s="269" t="s">
        <v>1370</v>
      </c>
      <c r="B26" s="281" t="s">
        <v>287</v>
      </c>
      <c r="E26" s="167"/>
      <c r="G26" s="269" t="s">
        <v>263</v>
      </c>
      <c r="H26" s="54"/>
    </row>
    <row r="27" spans="1:16" x14ac:dyDescent="0.2">
      <c r="A27" s="231" t="s">
        <v>1371</v>
      </c>
      <c r="B27" s="273" t="s">
        <v>1095</v>
      </c>
      <c r="D27" s="248" t="s">
        <v>1240</v>
      </c>
      <c r="E27" s="362"/>
      <c r="G27" s="231" t="s">
        <v>264</v>
      </c>
      <c r="H27" s="54"/>
    </row>
    <row r="28" spans="1:16" x14ac:dyDescent="0.2">
      <c r="A28" s="269" t="s">
        <v>1373</v>
      </c>
      <c r="B28" s="270" t="s">
        <v>978</v>
      </c>
      <c r="E28" s="167"/>
      <c r="G28" s="269" t="s">
        <v>265</v>
      </c>
      <c r="H28" s="54"/>
    </row>
    <row r="29" spans="1:16" x14ac:dyDescent="0.2">
      <c r="A29" s="231" t="s">
        <v>1375</v>
      </c>
      <c r="B29" s="273" t="s">
        <v>1095</v>
      </c>
      <c r="D29" s="173" t="s">
        <v>1357</v>
      </c>
      <c r="E29" s="53"/>
      <c r="G29" s="231" t="s">
        <v>266</v>
      </c>
      <c r="H29" s="54"/>
    </row>
    <row r="30" spans="1:16" x14ac:dyDescent="0.2">
      <c r="A30" s="269" t="s">
        <v>1376</v>
      </c>
      <c r="B30" s="272" t="s">
        <v>977</v>
      </c>
      <c r="E30" s="167"/>
      <c r="G30" s="269" t="s">
        <v>267</v>
      </c>
      <c r="H30" s="54"/>
    </row>
    <row r="31" spans="1:16" x14ac:dyDescent="0.2">
      <c r="A31" s="231" t="s">
        <v>1377</v>
      </c>
      <c r="B31" s="273" t="s">
        <v>1095</v>
      </c>
      <c r="D31" s="282" t="s">
        <v>1160</v>
      </c>
      <c r="E31" s="363"/>
      <c r="G31" s="231" t="s">
        <v>268</v>
      </c>
      <c r="H31" s="54"/>
    </row>
    <row r="32" spans="1:16" x14ac:dyDescent="0.2">
      <c r="A32" s="269" t="s">
        <v>1378</v>
      </c>
      <c r="B32" s="283" t="s">
        <v>979</v>
      </c>
      <c r="G32" s="269" t="s">
        <v>269</v>
      </c>
      <c r="H32" s="284" t="str">
        <f>IF(ISBLANK(Typ),"",IF(OR(Typ="Barbar",Typ="Krieger",Typ="Waldläufer",Typ="Feldscher",Typ="Klingenmagier",Typ="Waldhüter"),IF(Grad&lt;=4,Grad*3,15),IF(OR(Typ="Druide",Typ="Hexer",Typ="Magier",Typ="Priester, Beschützer",Typ="Priester, Streiter",Typ="Heiler",Typ="Runenmeister",Typ="Thaumaturg",Typ="Weiser"),IF(Grad&lt;=4,Grad*1,5),IF(Grad&lt;=4,Grad*2,10))))</f>
        <v/>
      </c>
    </row>
    <row r="33" spans="1:12" x14ac:dyDescent="0.2">
      <c r="A33" s="231" t="s">
        <v>1159</v>
      </c>
      <c r="B33" s="285" t="s">
        <v>170</v>
      </c>
      <c r="D33" s="350"/>
      <c r="G33" s="286" t="s">
        <v>205</v>
      </c>
      <c r="H33" s="287" t="str">
        <f>IF(OR(St="",Ko=""),"",SUM(H2:H32)+APB)</f>
        <v/>
      </c>
    </row>
    <row r="34" spans="1:12" x14ac:dyDescent="0.2">
      <c r="A34" s="288" t="s">
        <v>1096</v>
      </c>
      <c r="B34" s="167"/>
    </row>
    <row r="35" spans="1:12" x14ac:dyDescent="0.2">
      <c r="A35" s="167"/>
      <c r="B35" s="167"/>
      <c r="D35" s="227" t="s">
        <v>1245</v>
      </c>
      <c r="E35" s="289"/>
      <c r="F35" s="290"/>
      <c r="G35" s="290"/>
      <c r="H35" s="290"/>
      <c r="I35" s="290"/>
      <c r="J35" s="290"/>
      <c r="K35" s="290"/>
      <c r="L35" s="291"/>
    </row>
    <row r="36" spans="1:12" x14ac:dyDescent="0.2">
      <c r="A36" s="292" t="s">
        <v>1094</v>
      </c>
      <c r="B36" s="293" t="s">
        <v>1026</v>
      </c>
      <c r="D36" s="294" t="s">
        <v>1063</v>
      </c>
      <c r="E36" s="295" t="str">
        <f>IF(ISBLANK(Typ),"",VLOOKUP(Typ,Lerneinheiten,10,FALSE))</f>
        <v/>
      </c>
      <c r="F36" s="296"/>
      <c r="G36" s="297"/>
      <c r="H36" s="296"/>
      <c r="I36" s="296"/>
      <c r="J36" s="296"/>
      <c r="K36" s="296"/>
      <c r="L36" s="298"/>
    </row>
    <row r="37" spans="1:12" x14ac:dyDescent="0.2">
      <c r="A37" s="269" t="s">
        <v>1241</v>
      </c>
      <c r="B37" s="271" t="s">
        <v>1095</v>
      </c>
      <c r="D37" s="299" t="s">
        <v>1074</v>
      </c>
      <c r="E37" s="300" t="str">
        <f>IF(ISBLANK(Typ),"",VLOOKUP(Typ,Lerneinheiten,13,FALSE))</f>
        <v/>
      </c>
      <c r="F37" s="301"/>
      <c r="G37" s="301"/>
      <c r="H37" s="301"/>
      <c r="I37" s="301"/>
      <c r="J37" s="301"/>
      <c r="K37" s="301"/>
      <c r="L37" s="302"/>
    </row>
    <row r="38" spans="1:12" x14ac:dyDescent="0.2">
      <c r="A38" s="231" t="s">
        <v>1242</v>
      </c>
      <c r="B38" s="272" t="s">
        <v>977</v>
      </c>
      <c r="D38" s="294" t="s">
        <v>1064</v>
      </c>
      <c r="E38" s="295" t="str">
        <f>IF(ISBLANK(Typ),"",VLOOKUP(Typ,Lerneinheiten,2,FALSE))</f>
        <v/>
      </c>
      <c r="F38" s="296"/>
      <c r="G38" s="297"/>
      <c r="H38" s="296"/>
      <c r="I38" s="296"/>
      <c r="J38" s="296"/>
      <c r="K38" s="296"/>
      <c r="L38" s="298"/>
    </row>
    <row r="39" spans="1:12" x14ac:dyDescent="0.2">
      <c r="A39" s="269" t="s">
        <v>1243</v>
      </c>
      <c r="B39" s="272" t="s">
        <v>977</v>
      </c>
      <c r="D39" s="299" t="s">
        <v>1065</v>
      </c>
      <c r="E39" s="300" t="str">
        <f>IF(ISBLANK(Typ),"",VLOOKUP(Typ,Lerneinheiten,3,FALSE))</f>
        <v/>
      </c>
      <c r="F39" s="301"/>
      <c r="G39" s="301"/>
      <c r="H39" s="301"/>
      <c r="I39" s="301"/>
      <c r="J39" s="301"/>
      <c r="K39" s="301"/>
      <c r="L39" s="302"/>
    </row>
    <row r="40" spans="1:12" x14ac:dyDescent="0.2">
      <c r="A40" s="198" t="s">
        <v>1244</v>
      </c>
      <c r="B40" s="303" t="s">
        <v>978</v>
      </c>
      <c r="D40" s="294" t="s">
        <v>1066</v>
      </c>
      <c r="E40" s="295" t="str">
        <f>IF(ISBLANK(Typ),"",VLOOKUP(Typ,Lerneinheiten,4,FALSE))</f>
        <v/>
      </c>
      <c r="F40" s="296"/>
      <c r="G40" s="296"/>
      <c r="H40" s="296"/>
      <c r="I40" s="296"/>
      <c r="J40" s="296"/>
      <c r="K40" s="296"/>
      <c r="L40" s="298"/>
    </row>
    <row r="41" spans="1:12" x14ac:dyDescent="0.2">
      <c r="D41" s="299" t="s">
        <v>1067</v>
      </c>
      <c r="E41" s="300" t="str">
        <f>IF(ISBLANK(Typ),"",VLOOKUP(Typ,Lerneinheiten,5,FALSE))</f>
        <v/>
      </c>
      <c r="F41" s="304"/>
      <c r="G41" s="304"/>
      <c r="H41" s="304"/>
      <c r="I41" s="304"/>
      <c r="J41" s="304"/>
      <c r="K41" s="304"/>
      <c r="L41" s="305"/>
    </row>
    <row r="42" spans="1:12" x14ac:dyDescent="0.2">
      <c r="A42" s="173" t="str">
        <f>CONCATENATE("C. Steigerung einer Eigenschaft?"," ",IF(B42&gt;0,VLOOKUP(B42,Notizen!L65:'Notizen'!M75,2,TRUE),"Prozentwurf machen!"))</f>
        <v>C. Steigerung einer Eigenschaft? Prozentwurf machen!</v>
      </c>
      <c r="B42" s="55"/>
      <c r="D42" s="294" t="s">
        <v>216</v>
      </c>
      <c r="E42" s="295" t="str">
        <f>IF(ISBLANK(Typ),"",VLOOKUP(Typ,Lerneinheiten,6,FALSE))</f>
        <v/>
      </c>
      <c r="F42" s="296"/>
      <c r="G42" s="296"/>
      <c r="H42" s="296"/>
      <c r="I42" s="296"/>
      <c r="J42" s="296"/>
      <c r="K42" s="296"/>
      <c r="L42" s="298"/>
    </row>
    <row r="43" spans="1:12" x14ac:dyDescent="0.2">
      <c r="B43" s="276"/>
      <c r="D43" s="299" t="s">
        <v>1068</v>
      </c>
      <c r="E43" s="300" t="str">
        <f>IF(ISBLANK(Typ),"",VLOOKUP(Typ,Lerneinheiten,7,FALSE))</f>
        <v/>
      </c>
      <c r="F43" s="301"/>
      <c r="G43" s="301"/>
      <c r="H43" s="301"/>
      <c r="I43" s="301"/>
      <c r="J43" s="301"/>
      <c r="K43" s="301"/>
      <c r="L43" s="302"/>
    </row>
    <row r="44" spans="1:12" x14ac:dyDescent="0.2">
      <c r="D44" s="294" t="s">
        <v>1069</v>
      </c>
      <c r="E44" s="295" t="str">
        <f>IF(ISBLANK(Typ),"",VLOOKUP(Typ,Lerneinheiten,8,FALSE))</f>
        <v/>
      </c>
      <c r="F44" s="296"/>
      <c r="G44" s="296"/>
      <c r="H44" s="296"/>
      <c r="I44" s="296"/>
      <c r="J44" s="296"/>
      <c r="K44" s="296"/>
      <c r="L44" s="298"/>
    </row>
    <row r="45" spans="1:12" x14ac:dyDescent="0.2">
      <c r="D45" s="299" t="s">
        <v>1070</v>
      </c>
      <c r="E45" s="300" t="str">
        <f>IF(ISBLANK(Typ),"",VLOOKUP(Typ,Lerneinheiten,9,FALSE))</f>
        <v/>
      </c>
      <c r="F45" s="301"/>
      <c r="G45" s="301"/>
      <c r="H45" s="301"/>
      <c r="I45" s="301"/>
      <c r="J45" s="301"/>
      <c r="K45" s="301"/>
      <c r="L45" s="302"/>
    </row>
    <row r="46" spans="1:12" x14ac:dyDescent="0.2">
      <c r="D46" s="294" t="s">
        <v>153</v>
      </c>
      <c r="E46" s="295" t="str">
        <f>IF(ISBLANK(Typ),"",VLOOKUP(Typ,Lerneinheiten,11,FALSE))</f>
        <v/>
      </c>
      <c r="F46" s="296"/>
      <c r="G46" s="296"/>
      <c r="H46" s="296"/>
      <c r="I46" s="296"/>
      <c r="J46" s="296"/>
      <c r="K46" s="296"/>
      <c r="L46" s="298"/>
    </row>
    <row r="47" spans="1:12" x14ac:dyDescent="0.2">
      <c r="D47" s="299" t="str">
        <f>CONCATENATE("Zauber: ",IF(ISBLANK(Typ),"",VLOOKUP(Typ,Lerneinheiten,14,FALSE)))</f>
        <v xml:space="preserve">Zauber: </v>
      </c>
      <c r="E47" s="300" t="str">
        <f>IF(ISBLANK(Typ),"",VLOOKUP(Typ,Lerneinheiten,12,FALSE))</f>
        <v/>
      </c>
      <c r="F47" s="301"/>
      <c r="G47" s="301"/>
      <c r="H47" s="301"/>
      <c r="I47" s="301"/>
      <c r="J47" s="301"/>
      <c r="K47" s="301"/>
      <c r="L47" s="302"/>
    </row>
    <row r="48" spans="1:12" x14ac:dyDescent="0.2">
      <c r="D48" s="294" t="str">
        <f>CONCATENATE("Stand ",Stand)</f>
        <v xml:space="preserve">Stand </v>
      </c>
      <c r="E48" s="295" t="str">
        <f>CONCATENATE("+2 LE für ",IF(Stand="unfrei","Halbwelt",IF(Stand="Volk","Alltag",IF(Stand="Mittelschicht","Wissen",IF(Stand="Adel","Sozial (leicht)","Stand fehlt!")))))</f>
        <v>+2 LE für Stand fehlt!</v>
      </c>
      <c r="F48" s="296"/>
      <c r="G48" s="296"/>
      <c r="H48" s="296"/>
      <c r="I48" s="296"/>
      <c r="J48" s="296"/>
      <c r="K48" s="296"/>
      <c r="L48" s="298"/>
    </row>
    <row r="49" spans="1:12" x14ac:dyDescent="0.2">
      <c r="D49" s="306" t="s">
        <v>1091</v>
      </c>
      <c r="E49" s="307"/>
      <c r="F49" s="308"/>
      <c r="G49" s="308"/>
      <c r="H49" s="308"/>
      <c r="I49" s="308"/>
      <c r="J49" s="308"/>
      <c r="K49" s="308"/>
      <c r="L49" s="309"/>
    </row>
    <row r="50" spans="1:12" x14ac:dyDescent="0.2">
      <c r="F50" s="310"/>
      <c r="G50" s="310"/>
      <c r="H50" s="310"/>
      <c r="I50" s="310"/>
      <c r="J50" s="310"/>
    </row>
    <row r="51" spans="1:12" x14ac:dyDescent="0.2">
      <c r="F51" s="310"/>
      <c r="G51" s="310"/>
      <c r="H51" s="310"/>
      <c r="I51" s="310"/>
      <c r="J51" s="310"/>
    </row>
    <row r="52" spans="1:12" x14ac:dyDescent="0.2">
      <c r="F52" s="310"/>
      <c r="G52" s="310"/>
      <c r="H52" s="310"/>
      <c r="I52" s="310"/>
      <c r="J52" s="310"/>
    </row>
    <row r="53" spans="1:12" x14ac:dyDescent="0.2">
      <c r="F53" s="310"/>
      <c r="G53" s="310"/>
      <c r="H53" s="310"/>
      <c r="I53" s="310"/>
      <c r="J53" s="310"/>
    </row>
    <row r="54" spans="1:12" x14ac:dyDescent="0.2">
      <c r="F54" s="310"/>
      <c r="G54" s="310"/>
      <c r="H54" s="310"/>
      <c r="I54" s="310"/>
      <c r="J54" s="310"/>
    </row>
    <row r="55" spans="1:12" x14ac:dyDescent="0.2">
      <c r="F55" s="310"/>
      <c r="G55" s="310"/>
      <c r="H55" s="310"/>
      <c r="I55" s="310"/>
      <c r="J55" s="310"/>
    </row>
    <row r="59" spans="1:12" x14ac:dyDescent="0.2">
      <c r="A59" s="167"/>
      <c r="B59" s="167"/>
      <c r="C59" s="240"/>
    </row>
    <row r="60" spans="1:12" x14ac:dyDescent="0.2">
      <c r="A60" s="167"/>
      <c r="B60" s="167"/>
      <c r="C60" s="240"/>
    </row>
    <row r="61" spans="1:12" x14ac:dyDescent="0.2">
      <c r="A61" s="167"/>
      <c r="B61" s="167"/>
      <c r="C61" s="240"/>
    </row>
    <row r="62" spans="1:12" x14ac:dyDescent="0.2">
      <c r="A62" s="167"/>
      <c r="B62" s="167"/>
      <c r="C62" s="167"/>
      <c r="E62" s="167"/>
      <c r="F62" s="167"/>
      <c r="G62" s="167"/>
      <c r="H62" s="167"/>
      <c r="I62" s="167"/>
      <c r="J62" s="167"/>
    </row>
  </sheetData>
  <sheetProtection password="D5DE" sheet="1" objects="1" scenarios="1" selectLockedCells="1"/>
  <mergeCells count="3">
    <mergeCell ref="E14:E15"/>
    <mergeCell ref="E24:E25"/>
    <mergeCell ref="E21:E22"/>
  </mergeCells>
  <dataValidations count="1">
    <dataValidation type="list" allowBlank="1" showInputMessage="1" showErrorMessage="1" errorTitle="Fehler" error="Bitte bevorzugtes Gelände aus der Dropdownliste auswählen!" promptTitle="Dropdown-Liste" prompt="Bitte bevorzugtes Gelände aus der Dropdownliste auswählen!" sqref="E31">
      <formula1>GeländeListe</formula1>
    </dataValidation>
  </dataValidation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46"/>
  <sheetViews>
    <sheetView showGridLines="0" tabSelected="1" workbookViewId="0">
      <selection activeCell="L40" sqref="L40"/>
    </sheetView>
  </sheetViews>
  <sheetFormatPr baseColWidth="10" defaultRowHeight="12.75" x14ac:dyDescent="0.2"/>
  <cols>
    <col min="1" max="7" width="11.42578125" style="314"/>
    <col min="9" max="16384" width="11.42578125" style="314"/>
  </cols>
  <sheetData>
    <row r="1" spans="1:12" ht="20.25" customHeight="1" x14ac:dyDescent="0.25">
      <c r="A1" s="311" t="s">
        <v>1255</v>
      </c>
      <c r="B1" s="312"/>
      <c r="C1" s="312"/>
      <c r="D1" s="312"/>
      <c r="E1" s="312"/>
      <c r="F1" s="312"/>
      <c r="G1" s="312"/>
      <c r="H1" s="312"/>
      <c r="I1" s="312"/>
      <c r="J1" s="312"/>
      <c r="K1" s="312"/>
      <c r="L1" s="313"/>
    </row>
    <row r="2" spans="1:12" x14ac:dyDescent="0.2">
      <c r="A2" s="315"/>
      <c r="B2" s="316"/>
      <c r="C2" s="316"/>
      <c r="D2" s="316"/>
      <c r="E2" s="316"/>
      <c r="F2" s="316"/>
      <c r="G2" s="316"/>
      <c r="H2" s="316"/>
      <c r="I2" s="316"/>
      <c r="J2" s="316"/>
      <c r="K2" s="316"/>
      <c r="L2" s="317"/>
    </row>
    <row r="3" spans="1:12" x14ac:dyDescent="0.2">
      <c r="A3" s="315"/>
      <c r="B3" s="316"/>
      <c r="C3" s="316"/>
      <c r="D3" s="316"/>
      <c r="E3" s="316"/>
      <c r="F3" s="316"/>
      <c r="G3" s="316"/>
      <c r="H3" s="316"/>
      <c r="I3" s="316"/>
      <c r="J3" s="316"/>
      <c r="K3" s="316"/>
      <c r="L3" s="317"/>
    </row>
    <row r="4" spans="1:12" x14ac:dyDescent="0.2">
      <c r="A4" s="315"/>
      <c r="B4" s="316"/>
      <c r="C4" s="316"/>
      <c r="D4" s="316"/>
      <c r="E4" s="316"/>
      <c r="F4" s="316"/>
      <c r="G4" s="316"/>
      <c r="H4" s="316"/>
      <c r="I4" s="316"/>
      <c r="J4" s="316"/>
      <c r="K4" s="316"/>
      <c r="L4" s="317"/>
    </row>
    <row r="5" spans="1:12" x14ac:dyDescent="0.2">
      <c r="A5" s="315"/>
      <c r="B5" s="316"/>
      <c r="C5" s="316"/>
      <c r="D5" s="316"/>
      <c r="E5" s="316"/>
      <c r="F5" s="316"/>
      <c r="G5" s="316"/>
      <c r="H5" s="316"/>
      <c r="I5" s="316"/>
      <c r="J5" s="316"/>
      <c r="K5" s="316"/>
      <c r="L5" s="317"/>
    </row>
    <row r="6" spans="1:12" x14ac:dyDescent="0.2">
      <c r="A6" s="315"/>
      <c r="B6" s="316"/>
      <c r="C6" s="316"/>
      <c r="D6" s="316"/>
      <c r="E6" s="316"/>
      <c r="F6" s="316"/>
      <c r="G6" s="316"/>
      <c r="H6" s="316"/>
      <c r="I6" s="316"/>
      <c r="J6" s="316"/>
      <c r="K6" s="316"/>
      <c r="L6" s="317"/>
    </row>
    <row r="7" spans="1:12" x14ac:dyDescent="0.2">
      <c r="A7" s="315"/>
      <c r="B7" s="316"/>
      <c r="C7" s="316"/>
      <c r="D7" s="316"/>
      <c r="E7" s="316"/>
      <c r="F7" s="316"/>
      <c r="G7" s="316"/>
      <c r="H7" s="316"/>
      <c r="I7" s="316"/>
      <c r="J7" s="316"/>
      <c r="K7" s="316"/>
      <c r="L7" s="317"/>
    </row>
    <row r="8" spans="1:12" x14ac:dyDescent="0.2">
      <c r="A8" s="315"/>
      <c r="B8" s="316"/>
      <c r="C8" s="316"/>
      <c r="D8" s="316"/>
      <c r="E8" s="316"/>
      <c r="F8" s="316"/>
      <c r="G8" s="316"/>
      <c r="H8" s="316"/>
      <c r="I8" s="316"/>
      <c r="J8" s="316"/>
      <c r="K8" s="316"/>
      <c r="L8" s="317"/>
    </row>
    <row r="9" spans="1:12" x14ac:dyDescent="0.2">
      <c r="A9" s="315"/>
      <c r="B9" s="316"/>
      <c r="C9" s="316"/>
      <c r="D9" s="316"/>
      <c r="E9" s="316"/>
      <c r="F9" s="316"/>
      <c r="G9" s="316"/>
      <c r="H9" s="316"/>
      <c r="I9" s="316"/>
      <c r="J9" s="316"/>
      <c r="K9" s="316"/>
      <c r="L9" s="317"/>
    </row>
    <row r="10" spans="1:12" x14ac:dyDescent="0.2">
      <c r="A10" s="315"/>
      <c r="B10" s="316"/>
      <c r="C10" s="316"/>
      <c r="D10" s="316"/>
      <c r="E10" s="316"/>
      <c r="F10" s="316"/>
      <c r="G10" s="316"/>
      <c r="H10" s="316"/>
      <c r="I10" s="316"/>
      <c r="J10" s="316"/>
      <c r="K10" s="316"/>
      <c r="L10" s="317"/>
    </row>
    <row r="11" spans="1:12" x14ac:dyDescent="0.2">
      <c r="A11" s="315"/>
      <c r="B11" s="316"/>
      <c r="C11" s="316"/>
      <c r="D11" s="316"/>
      <c r="E11" s="316"/>
      <c r="F11" s="316"/>
      <c r="G11" s="316"/>
      <c r="H11" s="316"/>
      <c r="I11" s="316"/>
      <c r="J11" s="316"/>
      <c r="K11" s="316"/>
      <c r="L11" s="317"/>
    </row>
    <row r="12" spans="1:12" x14ac:dyDescent="0.2">
      <c r="A12" s="315"/>
      <c r="B12" s="316"/>
      <c r="C12" s="316"/>
      <c r="D12" s="316"/>
      <c r="E12" s="316"/>
      <c r="F12" s="316"/>
      <c r="G12" s="316"/>
      <c r="H12" s="316"/>
      <c r="I12" s="316"/>
      <c r="J12" s="316"/>
      <c r="K12" s="316"/>
      <c r="L12" s="317"/>
    </row>
    <row r="13" spans="1:12" x14ac:dyDescent="0.2">
      <c r="A13" s="315"/>
      <c r="B13" s="316"/>
      <c r="C13" s="316"/>
      <c r="D13" s="316"/>
      <c r="E13" s="316"/>
      <c r="F13" s="316"/>
      <c r="G13" s="316"/>
      <c r="H13" s="316"/>
      <c r="I13" s="316"/>
      <c r="J13" s="316"/>
      <c r="K13" s="316"/>
      <c r="L13" s="317"/>
    </row>
    <row r="14" spans="1:12" x14ac:dyDescent="0.2">
      <c r="A14" s="315"/>
      <c r="B14" s="316"/>
      <c r="C14" s="316"/>
      <c r="D14" s="316"/>
      <c r="E14" s="316"/>
      <c r="F14" s="316"/>
      <c r="G14" s="316"/>
      <c r="H14" s="316"/>
      <c r="I14" s="316"/>
      <c r="J14" s="316"/>
      <c r="K14" s="316"/>
      <c r="L14" s="317"/>
    </row>
    <row r="15" spans="1:12" x14ac:dyDescent="0.2">
      <c r="A15" s="315"/>
      <c r="B15" s="316"/>
      <c r="C15" s="316"/>
      <c r="D15" s="316"/>
      <c r="E15" s="316"/>
      <c r="F15" s="316"/>
      <c r="G15" s="316"/>
      <c r="H15" s="316"/>
      <c r="I15" s="316"/>
      <c r="J15" s="316"/>
      <c r="K15" s="316"/>
      <c r="L15" s="317"/>
    </row>
    <row r="16" spans="1:12" x14ac:dyDescent="0.2">
      <c r="A16" s="315"/>
      <c r="B16" s="316"/>
      <c r="C16" s="316"/>
      <c r="D16" s="316"/>
      <c r="E16" s="316"/>
      <c r="F16" s="316"/>
      <c r="G16" s="316"/>
      <c r="H16" s="316"/>
      <c r="I16" s="316"/>
      <c r="J16" s="316"/>
      <c r="K16" s="316"/>
      <c r="L16" s="317"/>
    </row>
    <row r="17" spans="1:12" x14ac:dyDescent="0.2">
      <c r="A17" s="315"/>
      <c r="B17" s="316"/>
      <c r="C17" s="316"/>
      <c r="D17" s="316"/>
      <c r="E17" s="316"/>
      <c r="F17" s="316"/>
      <c r="G17" s="316"/>
      <c r="H17" s="316"/>
      <c r="I17" s="316"/>
      <c r="J17" s="316"/>
      <c r="K17" s="316"/>
      <c r="L17" s="317"/>
    </row>
    <row r="18" spans="1:12" x14ac:dyDescent="0.2">
      <c r="A18" s="315"/>
      <c r="B18" s="316"/>
      <c r="C18" s="316"/>
      <c r="D18" s="316"/>
      <c r="E18" s="316"/>
      <c r="F18" s="316"/>
      <c r="G18" s="316"/>
      <c r="H18" s="316"/>
      <c r="I18" s="316"/>
      <c r="J18" s="316"/>
      <c r="K18" s="316"/>
      <c r="L18" s="317"/>
    </row>
    <row r="19" spans="1:12" x14ac:dyDescent="0.2">
      <c r="A19" s="315"/>
      <c r="B19" s="316"/>
      <c r="C19" s="316"/>
      <c r="D19" s="316"/>
      <c r="E19" s="316"/>
      <c r="F19" s="316"/>
      <c r="G19" s="316"/>
      <c r="H19" s="316"/>
      <c r="I19" s="316"/>
      <c r="J19" s="316"/>
      <c r="K19" s="316"/>
      <c r="L19" s="317"/>
    </row>
    <row r="20" spans="1:12" x14ac:dyDescent="0.2">
      <c r="A20" s="315"/>
      <c r="B20" s="316"/>
      <c r="C20" s="316"/>
      <c r="D20" s="316"/>
      <c r="E20" s="316"/>
      <c r="F20" s="316"/>
      <c r="G20" s="316"/>
      <c r="H20" s="316"/>
      <c r="I20" s="316"/>
      <c r="J20" s="316"/>
      <c r="K20" s="316"/>
      <c r="L20" s="317"/>
    </row>
    <row r="21" spans="1:12" x14ac:dyDescent="0.2">
      <c r="A21" s="315"/>
      <c r="B21" s="316"/>
      <c r="C21" s="316"/>
      <c r="D21" s="316"/>
      <c r="E21" s="316"/>
      <c r="F21" s="316"/>
      <c r="G21" s="316"/>
      <c r="H21" s="316"/>
      <c r="I21" s="316"/>
      <c r="J21" s="316"/>
      <c r="K21" s="316"/>
      <c r="L21" s="317"/>
    </row>
    <row r="22" spans="1:12" x14ac:dyDescent="0.2">
      <c r="A22" s="315"/>
      <c r="B22" s="316"/>
      <c r="C22" s="316"/>
      <c r="D22" s="316"/>
      <c r="E22" s="316"/>
      <c r="F22" s="316"/>
      <c r="G22" s="316"/>
      <c r="H22" s="316"/>
      <c r="I22" s="316"/>
      <c r="J22" s="316"/>
      <c r="K22" s="316"/>
      <c r="L22" s="317"/>
    </row>
    <row r="23" spans="1:12" x14ac:dyDescent="0.2">
      <c r="A23" s="315"/>
      <c r="B23" s="316"/>
      <c r="C23" s="316"/>
      <c r="D23" s="316"/>
      <c r="E23" s="316"/>
      <c r="F23" s="316"/>
      <c r="G23" s="316"/>
      <c r="H23" s="316"/>
      <c r="I23" s="316"/>
      <c r="J23" s="316"/>
      <c r="K23" s="316"/>
      <c r="L23" s="317"/>
    </row>
    <row r="24" spans="1:12" x14ac:dyDescent="0.2">
      <c r="A24" s="315"/>
      <c r="B24" s="316"/>
      <c r="C24" s="316"/>
      <c r="D24" s="316"/>
      <c r="E24" s="316"/>
      <c r="F24" s="316"/>
      <c r="G24" s="316"/>
      <c r="H24" s="316"/>
      <c r="I24" s="316"/>
      <c r="J24" s="316"/>
      <c r="K24" s="316"/>
      <c r="L24" s="317"/>
    </row>
    <row r="25" spans="1:12" x14ac:dyDescent="0.2">
      <c r="A25" s="315"/>
      <c r="B25" s="316"/>
      <c r="C25" s="316"/>
      <c r="D25" s="316"/>
      <c r="E25" s="316"/>
      <c r="F25" s="316"/>
      <c r="G25" s="316"/>
      <c r="H25" s="316"/>
      <c r="I25" s="316"/>
      <c r="J25" s="316"/>
      <c r="K25" s="316"/>
      <c r="L25" s="317"/>
    </row>
    <row r="26" spans="1:12" x14ac:dyDescent="0.2">
      <c r="A26" s="315"/>
      <c r="B26" s="316"/>
      <c r="C26" s="316"/>
      <c r="D26" s="316"/>
      <c r="E26" s="316"/>
      <c r="F26" s="316"/>
      <c r="G26" s="316"/>
      <c r="H26" s="316"/>
      <c r="I26" s="316"/>
      <c r="J26" s="316"/>
      <c r="K26" s="316"/>
      <c r="L26" s="317"/>
    </row>
    <row r="27" spans="1:12" x14ac:dyDescent="0.2">
      <c r="A27" s="315"/>
      <c r="B27" s="316"/>
      <c r="C27" s="316"/>
      <c r="D27" s="316"/>
      <c r="E27" s="316"/>
      <c r="F27" s="316"/>
      <c r="G27" s="316"/>
      <c r="H27" s="316"/>
      <c r="I27" s="316"/>
      <c r="J27" s="316"/>
      <c r="K27" s="316"/>
      <c r="L27" s="317"/>
    </row>
    <row r="28" spans="1:12" x14ac:dyDescent="0.2">
      <c r="A28" s="315"/>
      <c r="B28" s="316"/>
      <c r="C28" s="316"/>
      <c r="D28" s="316"/>
      <c r="E28" s="316"/>
      <c r="F28" s="316"/>
      <c r="G28" s="316"/>
      <c r="H28" s="316"/>
      <c r="I28" s="316"/>
      <c r="J28" s="316"/>
      <c r="K28" s="316"/>
      <c r="L28" s="317"/>
    </row>
    <row r="29" spans="1:12" x14ac:dyDescent="0.2">
      <c r="A29" s="315"/>
      <c r="B29" s="316"/>
      <c r="C29" s="316"/>
      <c r="D29" s="316"/>
      <c r="E29" s="316"/>
      <c r="F29" s="316"/>
      <c r="G29" s="316"/>
      <c r="H29" s="316"/>
      <c r="I29" s="316"/>
      <c r="J29" s="316"/>
      <c r="K29" s="316"/>
      <c r="L29" s="317"/>
    </row>
    <row r="30" spans="1:12" x14ac:dyDescent="0.2">
      <c r="A30" s="315"/>
      <c r="B30" s="316"/>
      <c r="C30" s="316"/>
      <c r="D30" s="316"/>
      <c r="E30" s="316"/>
      <c r="F30" s="316"/>
      <c r="G30" s="316"/>
      <c r="H30" s="316"/>
      <c r="I30" s="316"/>
      <c r="J30" s="316"/>
      <c r="K30" s="316"/>
      <c r="L30" s="317"/>
    </row>
    <row r="31" spans="1:12" x14ac:dyDescent="0.2">
      <c r="A31" s="315"/>
      <c r="B31" s="316"/>
      <c r="C31" s="316"/>
      <c r="D31" s="316"/>
      <c r="E31" s="316"/>
      <c r="F31" s="316"/>
      <c r="G31" s="316"/>
      <c r="H31" s="316"/>
      <c r="I31" s="316"/>
      <c r="J31" s="316"/>
      <c r="K31" s="316"/>
      <c r="L31" s="317"/>
    </row>
    <row r="32" spans="1:12" x14ac:dyDescent="0.2">
      <c r="A32" s="315"/>
      <c r="B32" s="316"/>
      <c r="C32" s="316"/>
      <c r="D32" s="316"/>
      <c r="E32" s="316"/>
      <c r="F32" s="316"/>
      <c r="G32" s="316"/>
      <c r="H32" s="316"/>
      <c r="I32" s="316"/>
      <c r="J32" s="316"/>
      <c r="K32" s="316"/>
      <c r="L32" s="317"/>
    </row>
    <row r="33" spans="1:12" x14ac:dyDescent="0.2">
      <c r="A33" s="315"/>
      <c r="B33" s="316"/>
      <c r="C33" s="316"/>
      <c r="D33" s="316"/>
      <c r="E33" s="316"/>
      <c r="F33" s="316"/>
      <c r="G33" s="316"/>
      <c r="H33" s="316"/>
      <c r="I33" s="316"/>
      <c r="J33" s="316"/>
      <c r="K33" s="316"/>
      <c r="L33" s="317"/>
    </row>
    <row r="34" spans="1:12" x14ac:dyDescent="0.2">
      <c r="A34" s="315"/>
      <c r="B34" s="316"/>
      <c r="C34" s="316"/>
      <c r="D34" s="316"/>
      <c r="E34" s="316"/>
      <c r="F34" s="316"/>
      <c r="G34" s="316"/>
      <c r="H34" s="316"/>
      <c r="I34" s="316"/>
      <c r="J34" s="316"/>
      <c r="K34" s="316"/>
      <c r="L34" s="317"/>
    </row>
    <row r="35" spans="1:12" x14ac:dyDescent="0.2">
      <c r="A35" s="315"/>
      <c r="B35" s="316"/>
      <c r="C35" s="316"/>
      <c r="D35" s="316"/>
      <c r="E35" s="316"/>
      <c r="F35" s="316"/>
      <c r="G35" s="316"/>
      <c r="H35" s="316"/>
      <c r="I35" s="316"/>
      <c r="J35" s="316"/>
      <c r="K35" s="316"/>
      <c r="L35" s="317"/>
    </row>
    <row r="36" spans="1:12" x14ac:dyDescent="0.2">
      <c r="A36" s="315"/>
      <c r="B36" s="316"/>
      <c r="C36" s="316"/>
      <c r="D36" s="316"/>
      <c r="E36" s="316"/>
      <c r="F36" s="316"/>
      <c r="G36" s="316"/>
      <c r="H36" s="316"/>
      <c r="I36" s="316"/>
      <c r="J36" s="316"/>
      <c r="K36" s="316"/>
      <c r="L36" s="317"/>
    </row>
    <row r="37" spans="1:12" x14ac:dyDescent="0.2">
      <c r="A37" s="315"/>
      <c r="B37" s="316"/>
      <c r="C37" s="316"/>
      <c r="D37" s="316"/>
      <c r="E37" s="316"/>
      <c r="F37" s="316"/>
      <c r="G37" s="316"/>
      <c r="H37" s="316"/>
      <c r="I37" s="316"/>
      <c r="J37" s="316"/>
      <c r="K37" s="316"/>
      <c r="L37" s="317"/>
    </row>
    <row r="38" spans="1:12" x14ac:dyDescent="0.2">
      <c r="A38" s="315"/>
      <c r="B38" s="316"/>
      <c r="C38" s="316"/>
      <c r="D38" s="316"/>
      <c r="E38" s="316"/>
      <c r="F38" s="316"/>
      <c r="G38" s="316"/>
      <c r="H38" s="316"/>
      <c r="I38" s="316"/>
      <c r="J38" s="316"/>
      <c r="K38" s="316"/>
      <c r="L38" s="317"/>
    </row>
    <row r="39" spans="1:12" ht="13.5" thickBot="1" x14ac:dyDescent="0.25">
      <c r="A39" s="315"/>
      <c r="B39" s="316"/>
      <c r="C39" s="316"/>
      <c r="D39" s="316"/>
      <c r="E39" s="316"/>
      <c r="F39" s="316"/>
      <c r="G39" s="316"/>
      <c r="H39" s="316"/>
      <c r="I39" s="316"/>
      <c r="J39" s="316"/>
      <c r="K39" s="316"/>
      <c r="L39" s="317"/>
    </row>
    <row r="40" spans="1:12" s="320" customFormat="1" ht="13.5" thickBot="1" x14ac:dyDescent="0.25">
      <c r="A40" s="318"/>
      <c r="B40" s="319"/>
      <c r="C40" s="319"/>
      <c r="D40" s="319"/>
      <c r="E40" s="319"/>
      <c r="F40" s="319"/>
      <c r="G40" s="319"/>
      <c r="H40" s="319"/>
      <c r="I40" s="319"/>
      <c r="J40" s="319"/>
      <c r="K40" s="319"/>
      <c r="L40" s="1236" t="s">
        <v>1885</v>
      </c>
    </row>
    <row r="41" spans="1:12" s="320" customFormat="1" x14ac:dyDescent="0.2"/>
    <row r="42" spans="1:12" s="320" customFormat="1" x14ac:dyDescent="0.2"/>
    <row r="43" spans="1:12" s="320" customFormat="1" x14ac:dyDescent="0.2"/>
    <row r="44" spans="1:12" s="320" customFormat="1" x14ac:dyDescent="0.2"/>
    <row r="45" spans="1:12" s="320" customFormat="1" x14ac:dyDescent="0.2"/>
    <row r="46" spans="1:12" s="320" customFormat="1" x14ac:dyDescent="0.2"/>
  </sheetData>
  <sheetProtection password="D5DE" sheet="1" objects="1" scenarios="1" selectLockedCells="1" selectUnlockedCells="1"/>
  <printOptions horizontalCentered="1"/>
  <pageMargins left="0.19685039370078741" right="0.19685039370078741" top="0.19685039370078741" bottom="0.19685039370078741"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enableFormatConditionsCalculation="0">
    <tabColor theme="3" tint="0.39997558519241921"/>
    <pageSetUpPr fitToPage="1"/>
  </sheetPr>
  <dimension ref="A1:BF70"/>
  <sheetViews>
    <sheetView showGridLines="0" zoomScale="125" zoomScaleNormal="125" workbookViewId="0">
      <selection activeCell="AY9" sqref="AY9:BA9"/>
    </sheetView>
  </sheetViews>
  <sheetFormatPr baseColWidth="10" defaultColWidth="1.7109375" defaultRowHeight="12.75" x14ac:dyDescent="0.2"/>
  <cols>
    <col min="1" max="16384" width="1.7109375" style="13"/>
  </cols>
  <sheetData>
    <row r="1" spans="1:58" ht="12" customHeight="1" x14ac:dyDescent="0.2"/>
    <row r="2" spans="1:58" ht="12" customHeight="1" x14ac:dyDescent="0.2"/>
    <row r="3" spans="1:58" ht="12" customHeight="1" x14ac:dyDescent="0.2"/>
    <row r="4" spans="1:58" ht="12" customHeight="1" x14ac:dyDescent="0.2"/>
    <row r="5" spans="1:58" ht="12" customHeight="1" x14ac:dyDescent="0.2"/>
    <row r="6" spans="1:58" s="5" customFormat="1" ht="15" customHeight="1" x14ac:dyDescent="0.2">
      <c r="A6" s="828" t="s">
        <v>181</v>
      </c>
      <c r="B6" s="828"/>
      <c r="C6" s="828"/>
      <c r="D6" s="829"/>
      <c r="E6" s="821" t="str">
        <f>IF(ISBLANK(Name),"",Name)</f>
        <v/>
      </c>
      <c r="F6" s="822"/>
      <c r="G6" s="822"/>
      <c r="H6" s="822"/>
      <c r="I6" s="822"/>
      <c r="J6" s="822"/>
      <c r="K6" s="822"/>
      <c r="L6" s="822"/>
      <c r="M6" s="822"/>
      <c r="N6" s="823"/>
      <c r="P6" s="824" t="s">
        <v>0</v>
      </c>
      <c r="Q6" s="824"/>
      <c r="R6" s="824"/>
      <c r="S6" s="825" t="str">
        <f>IF(OR(ISBLANK(Typ),ISBLANK(Rasse)),"",IF(AND(Rasse="Mensch",Geschlecht="weiblich"),CONCATENATE(VLOOKUP(Typ,Typ_weiblich,2,FALSE) &amp; " (" &amp; VLOOKUP(Typ,Typ_Abkz,3,FALSE) &amp;")"),IF(AND(Rasse="Mensch",Geschlecht="männlich"),CONCATENATE(Typ &amp; " (" &amp; VLOOKUP(Typ,Typ_Abkz,3,FALSE) &amp;")"),IF(Geschlecht="weiblich",CONCATENATE(VLOOKUP(Rasse,Rasse_weiblich,2,FALSE) &amp; " " &amp; VLOOKUP(Typ,Typ_weiblich,2,FALSE) &amp; " (" &amp; VLOOKUP(Typ,Typ_Abkz,3,FALSE) &amp;")"),CONCATENATE(Rasse &amp; " " &amp; Typ &amp; " (" &amp; VLOOKUP(Typ,Typ_Abkz,3,FALSE) &amp;")")))))</f>
        <v/>
      </c>
      <c r="T6" s="826"/>
      <c r="U6" s="826"/>
      <c r="V6" s="826"/>
      <c r="W6" s="826"/>
      <c r="X6" s="826"/>
      <c r="Y6" s="826"/>
      <c r="Z6" s="826"/>
      <c r="AA6" s="826"/>
      <c r="AB6" s="826"/>
      <c r="AC6" s="826"/>
      <c r="AD6" s="826"/>
      <c r="AE6" s="826"/>
      <c r="AF6" s="826"/>
      <c r="AG6" s="826"/>
      <c r="AH6" s="826"/>
      <c r="AI6" s="826"/>
      <c r="AJ6" s="826"/>
      <c r="AK6" s="826"/>
      <c r="AL6" s="827"/>
      <c r="AO6" s="828" t="s">
        <v>2</v>
      </c>
      <c r="AP6" s="828"/>
      <c r="AQ6" s="828"/>
      <c r="AR6" s="828"/>
      <c r="AS6" s="828"/>
      <c r="AT6" s="818" t="str">
        <f>IF(ISBLANK(Spieler),"",Spieler)</f>
        <v/>
      </c>
      <c r="AU6" s="818"/>
      <c r="AV6" s="818"/>
      <c r="AW6" s="818"/>
      <c r="AX6" s="819"/>
      <c r="AY6" s="818"/>
      <c r="AZ6" s="818"/>
      <c r="BA6" s="818"/>
      <c r="BB6" s="818"/>
      <c r="BC6" s="818"/>
      <c r="BD6" s="818"/>
      <c r="BE6" s="818"/>
      <c r="BF6" s="818"/>
    </row>
    <row r="7" spans="1:58" ht="5.0999999999999996" customHeight="1" x14ac:dyDescent="0.2"/>
    <row r="8" spans="1:58" ht="12" customHeight="1" x14ac:dyDescent="0.2">
      <c r="A8" s="820" t="str">
        <f>Vorderseite!A13</f>
        <v>St</v>
      </c>
      <c r="B8" s="820"/>
      <c r="C8" s="820"/>
      <c r="D8" s="14"/>
      <c r="F8" s="820" t="str">
        <f>Vorderseite!H13</f>
        <v>Gs</v>
      </c>
      <c r="G8" s="820"/>
      <c r="H8" s="820"/>
      <c r="I8" s="15"/>
      <c r="K8" s="820" t="s">
        <v>15</v>
      </c>
      <c r="L8" s="820"/>
      <c r="M8" s="820"/>
      <c r="N8" s="14"/>
      <c r="P8" s="820" t="str">
        <f>Vorderseite!V13</f>
        <v>Ko</v>
      </c>
      <c r="Q8" s="820"/>
      <c r="R8" s="820"/>
      <c r="S8" s="15"/>
      <c r="U8" s="820" t="str">
        <f>Vorderseite!AC13</f>
        <v>In</v>
      </c>
      <c r="V8" s="820"/>
      <c r="W8" s="820"/>
      <c r="X8" s="14"/>
      <c r="Z8" s="820" t="str">
        <f>Vorderseite!A15</f>
        <v>Zt</v>
      </c>
      <c r="AA8" s="820"/>
      <c r="AB8" s="820"/>
      <c r="AC8" s="15"/>
      <c r="AE8" s="820" t="str">
        <f>Vorderseite!H15</f>
        <v>Au</v>
      </c>
      <c r="AF8" s="820"/>
      <c r="AG8" s="820"/>
      <c r="AH8" s="14"/>
      <c r="AJ8" s="820" t="str">
        <f>Vorderseite!O15</f>
        <v>pA</v>
      </c>
      <c r="AK8" s="820"/>
      <c r="AL8" s="820"/>
      <c r="AM8" s="15"/>
      <c r="AO8" s="820" t="str">
        <f>Vorderseite!V15</f>
        <v>Wk</v>
      </c>
      <c r="AP8" s="820"/>
      <c r="AQ8" s="820"/>
      <c r="AR8" s="14"/>
      <c r="AT8" s="820" t="s">
        <v>18</v>
      </c>
      <c r="AU8" s="820"/>
      <c r="AV8" s="820"/>
      <c r="AY8" s="820" t="s">
        <v>65</v>
      </c>
      <c r="AZ8" s="820"/>
      <c r="BA8" s="820"/>
      <c r="BB8" s="14"/>
      <c r="BD8" s="820" t="s">
        <v>1</v>
      </c>
      <c r="BE8" s="820"/>
      <c r="BF8" s="820"/>
    </row>
    <row r="9" spans="1:58" s="17" customFormat="1" ht="12" customHeight="1" x14ac:dyDescent="0.2">
      <c r="A9" s="747" t="str">
        <f>+St</f>
        <v/>
      </c>
      <c r="B9" s="747"/>
      <c r="C9" s="747"/>
      <c r="D9" s="16"/>
      <c r="F9" s="747" t="str">
        <f>+Gs</f>
        <v/>
      </c>
      <c r="G9" s="747"/>
      <c r="H9" s="747"/>
      <c r="I9" s="16"/>
      <c r="K9" s="747" t="str">
        <f>+Gw</f>
        <v/>
      </c>
      <c r="L9" s="747"/>
      <c r="M9" s="747"/>
      <c r="N9" s="16"/>
      <c r="P9" s="747" t="str">
        <f>+Ko</f>
        <v/>
      </c>
      <c r="Q9" s="747"/>
      <c r="R9" s="747"/>
      <c r="S9" s="16"/>
      <c r="U9" s="747" t="str">
        <f>+In</f>
        <v/>
      </c>
      <c r="V9" s="747"/>
      <c r="W9" s="747"/>
      <c r="X9" s="16"/>
      <c r="Z9" s="747" t="str">
        <f>+Zt</f>
        <v/>
      </c>
      <c r="AA9" s="747"/>
      <c r="AB9" s="747"/>
      <c r="AC9" s="16"/>
      <c r="AE9" s="747" t="str">
        <f>+Au</f>
        <v/>
      </c>
      <c r="AF9" s="747"/>
      <c r="AG9" s="747"/>
      <c r="AH9" s="16"/>
      <c r="AJ9" s="747" t="str">
        <f>+pA</f>
        <v/>
      </c>
      <c r="AK9" s="747"/>
      <c r="AL9" s="747"/>
      <c r="AM9" s="16"/>
      <c r="AO9" s="747" t="str">
        <f>+Wk</f>
        <v/>
      </c>
      <c r="AP9" s="747"/>
      <c r="AQ9" s="747"/>
      <c r="AR9" s="16"/>
      <c r="AT9" s="514" t="str">
        <f>+KAW</f>
        <v/>
      </c>
      <c r="AU9" s="514"/>
      <c r="AV9" s="514"/>
      <c r="AY9" s="515" t="s">
        <v>206</v>
      </c>
      <c r="AZ9" s="515"/>
      <c r="BA9" s="515"/>
      <c r="BB9" s="16"/>
      <c r="BD9" s="837" t="str">
        <f>+Grad</f>
        <v/>
      </c>
      <c r="BE9" s="838"/>
      <c r="BF9" s="839"/>
    </row>
    <row r="10" spans="1:58" ht="5.0999999999999996" customHeight="1" x14ac:dyDescent="0.2"/>
    <row r="11" spans="1:58" ht="12" customHeight="1" x14ac:dyDescent="0.2">
      <c r="O11" s="866" t="s">
        <v>67</v>
      </c>
      <c r="P11" s="866"/>
      <c r="Q11" s="866"/>
      <c r="R11" s="866"/>
      <c r="S11" s="866"/>
      <c r="T11" s="866"/>
      <c r="U11" s="866"/>
      <c r="V11" s="866"/>
      <c r="W11" s="866"/>
      <c r="X11" s="866"/>
      <c r="Y11" s="866"/>
      <c r="AA11" s="844" t="s">
        <v>890</v>
      </c>
      <c r="AB11" s="845"/>
      <c r="AC11" s="845"/>
      <c r="AD11" s="845"/>
      <c r="AE11" s="845"/>
      <c r="AF11" s="845"/>
      <c r="AG11" s="845"/>
      <c r="AH11" s="845"/>
      <c r="AI11" s="845"/>
      <c r="AJ11" s="845"/>
      <c r="AK11" s="845"/>
      <c r="AL11" s="845"/>
      <c r="AM11" s="845"/>
      <c r="AN11" s="845"/>
      <c r="AO11" s="845"/>
      <c r="AP11" s="845"/>
      <c r="AQ11" s="846"/>
      <c r="AS11" s="841" t="s">
        <v>201</v>
      </c>
      <c r="AT11" s="841"/>
      <c r="AU11" s="841"/>
      <c r="AV11" s="841"/>
      <c r="AW11" s="841"/>
      <c r="AX11" s="841"/>
      <c r="AY11" s="841"/>
      <c r="AZ11" s="841"/>
      <c r="BA11" s="841"/>
      <c r="BB11" s="841"/>
      <c r="BC11" s="841"/>
      <c r="BD11" s="841"/>
      <c r="BE11" s="841"/>
      <c r="BF11" s="841"/>
    </row>
    <row r="12" spans="1:58" ht="12" customHeight="1" x14ac:dyDescent="0.2">
      <c r="A12" s="895" t="s">
        <v>19</v>
      </c>
      <c r="B12" s="895"/>
      <c r="D12" s="895" t="s">
        <v>27</v>
      </c>
      <c r="E12" s="895"/>
      <c r="G12" s="895" t="str">
        <f>Vorderseite!BA13</f>
        <v>GG</v>
      </c>
      <c r="H12" s="895"/>
      <c r="I12" s="895"/>
      <c r="K12" s="895" t="str">
        <f>Vorderseite!BA15</f>
        <v>SG</v>
      </c>
      <c r="L12" s="895"/>
      <c r="M12" s="895"/>
      <c r="O12" s="867" t="str">
        <f>Vorderseite!G18</f>
        <v>Schaden</v>
      </c>
      <c r="P12" s="868"/>
      <c r="Q12" s="869"/>
      <c r="R12" s="15"/>
      <c r="S12" s="870" t="str">
        <f>Vorderseite!M18</f>
        <v>Angriff</v>
      </c>
      <c r="T12" s="870"/>
      <c r="U12" s="870"/>
      <c r="W12" s="870" t="str">
        <f>Vorderseite!S18</f>
        <v>Abwehr</v>
      </c>
      <c r="X12" s="870"/>
      <c r="Y12" s="870"/>
      <c r="AA12" s="870" t="s">
        <v>68</v>
      </c>
      <c r="AB12" s="870"/>
      <c r="AC12" s="870"/>
      <c r="AD12" s="14"/>
      <c r="AE12" s="840" t="s">
        <v>215</v>
      </c>
      <c r="AF12" s="840"/>
      <c r="AG12" s="840"/>
      <c r="AH12" s="840" t="s">
        <v>891</v>
      </c>
      <c r="AI12" s="840"/>
      <c r="AJ12" s="840"/>
      <c r="AL12" s="840" t="s">
        <v>216</v>
      </c>
      <c r="AM12" s="840"/>
      <c r="AN12" s="840"/>
      <c r="AO12" s="840" t="s">
        <v>891</v>
      </c>
      <c r="AP12" s="840"/>
      <c r="AQ12" s="840"/>
      <c r="AS12" s="841" t="str">
        <f>Vorderseite!AC15</f>
        <v>B</v>
      </c>
      <c r="AT12" s="841"/>
      <c r="AU12" s="841"/>
      <c r="AW12" s="840" t="s">
        <v>1093</v>
      </c>
      <c r="AX12" s="840"/>
      <c r="AY12" s="840"/>
      <c r="AZ12" s="840"/>
      <c r="BB12" s="840" t="s">
        <v>233</v>
      </c>
      <c r="BC12" s="840"/>
      <c r="BD12" s="840"/>
      <c r="BE12" s="840"/>
      <c r="BF12" s="840"/>
    </row>
    <row r="13" spans="1:58" ht="12" customHeight="1" x14ac:dyDescent="0.2">
      <c r="A13" s="802" t="str">
        <f>+LP</f>
        <v/>
      </c>
      <c r="B13" s="802"/>
      <c r="D13" s="802" t="str">
        <f>+AP</f>
        <v/>
      </c>
      <c r="E13" s="802"/>
      <c r="G13" s="809" t="str">
        <f>IF(GG="","",GG)</f>
        <v/>
      </c>
      <c r="H13" s="809"/>
      <c r="I13" s="809"/>
      <c r="K13" s="810" t="str">
        <f>+SG</f>
        <v/>
      </c>
      <c r="L13" s="810"/>
      <c r="M13" s="810"/>
      <c r="O13" s="636" t="str">
        <f>+SchB</f>
        <v/>
      </c>
      <c r="P13" s="817"/>
      <c r="Q13" s="637"/>
      <c r="R13" s="16"/>
      <c r="S13" s="636" t="str">
        <f>+AnB</f>
        <v/>
      </c>
      <c r="T13" s="817"/>
      <c r="U13" s="637"/>
      <c r="W13" s="636" t="str">
        <f>+AbB</f>
        <v/>
      </c>
      <c r="X13" s="817"/>
      <c r="Y13" s="637"/>
      <c r="AA13" s="747" t="str">
        <f>+GiftT</f>
        <v/>
      </c>
      <c r="AB13" s="747"/>
      <c r="AC13" s="747"/>
      <c r="AD13" s="16"/>
      <c r="AE13" s="871" t="str">
        <f>IF(ISBLANK(Typ),"",+psyR+psyB+AH13)</f>
        <v/>
      </c>
      <c r="AF13" s="872"/>
      <c r="AG13" s="873"/>
      <c r="AH13" s="797"/>
      <c r="AI13" s="797"/>
      <c r="AJ13" s="797"/>
      <c r="AL13" s="843" t="str">
        <f>IF(ISBLANK(Typ),"",phsR+phsB+AO13)</f>
        <v/>
      </c>
      <c r="AM13" s="843"/>
      <c r="AN13" s="843"/>
      <c r="AO13" s="797"/>
      <c r="AP13" s="797"/>
      <c r="AQ13" s="797"/>
      <c r="AS13" s="842" t="str">
        <f>IF(BRasse="","",BRasse+(IF(AND(ISNUMBER(Laufen),Laufen&gt;0),ROUNDDOWN(Laufen/3,0),0)))</f>
        <v/>
      </c>
      <c r="AT13" s="842"/>
      <c r="AU13" s="842"/>
      <c r="AW13" s="787" t="str">
        <f>IF(BRasse="","",IF(ISBLANK(RK),"RK eingeben!",IF(RK="KR",BLaufen-4,IF(RK="PR",BLaufen-8,IF(RK="VR",BLaufen-12,BLaufen)))))</f>
        <v/>
      </c>
      <c r="AX13" s="787"/>
      <c r="AY13" s="787"/>
      <c r="AZ13" s="787"/>
      <c r="BB13" s="787" t="str">
        <f>IF(BRasse="","",IF(ISBLANK(RK),"RK eingeben!",IF(Last="Normallast",BRüstung,ROUNDDOWN(BRüstung/2,0))))</f>
        <v/>
      </c>
      <c r="BC13" s="787"/>
      <c r="BD13" s="787"/>
      <c r="BE13" s="787"/>
      <c r="BF13" s="787"/>
    </row>
    <row r="14" spans="1:58" s="14" customFormat="1" ht="5.0999999999999996" customHeight="1" thickBot="1" x14ac:dyDescent="0.25">
      <c r="A14" s="16"/>
      <c r="B14" s="7"/>
      <c r="C14" s="16"/>
      <c r="D14" s="16"/>
      <c r="E14" s="16"/>
      <c r="F14" s="18"/>
      <c r="G14" s="7"/>
      <c r="H14" s="13"/>
      <c r="I14" s="16"/>
      <c r="J14" s="16"/>
      <c r="K14" s="16"/>
      <c r="L14" s="7"/>
      <c r="M14" s="16"/>
      <c r="N14" s="16"/>
      <c r="O14" s="16"/>
      <c r="P14" s="16"/>
      <c r="Q14" s="7"/>
      <c r="R14" s="16"/>
      <c r="S14" s="16"/>
      <c r="T14" s="13"/>
      <c r="U14" s="13"/>
      <c r="V14" s="13"/>
      <c r="W14" s="13"/>
      <c r="X14" s="13"/>
      <c r="Y14" s="16"/>
      <c r="Z14" s="16"/>
      <c r="AA14" s="7"/>
      <c r="AB14" s="13"/>
      <c r="AC14" s="16"/>
      <c r="AD14" s="16"/>
      <c r="AE14" s="16"/>
      <c r="AF14" s="7"/>
      <c r="AG14" s="16"/>
      <c r="AH14" s="16"/>
      <c r="AI14" s="16"/>
      <c r="AJ14" s="16"/>
      <c r="AK14" s="7"/>
      <c r="AL14" s="16"/>
      <c r="AM14" s="16"/>
      <c r="AN14" s="16"/>
      <c r="AO14" s="16"/>
      <c r="AP14" s="7"/>
      <c r="AQ14" s="16"/>
      <c r="AR14" s="16"/>
      <c r="AS14" s="16"/>
      <c r="AT14" s="16"/>
      <c r="AU14" s="7"/>
      <c r="AV14" s="16"/>
      <c r="AW14" s="16"/>
      <c r="AX14" s="16"/>
      <c r="AY14" s="16"/>
      <c r="AZ14" s="7"/>
      <c r="BA14" s="16"/>
      <c r="BB14" s="16"/>
      <c r="BC14" s="16"/>
      <c r="BD14" s="16"/>
      <c r="BE14" s="7"/>
      <c r="BF14" s="16"/>
    </row>
    <row r="15" spans="1:58" s="8" customFormat="1" ht="15" customHeight="1" thickBot="1" x14ac:dyDescent="0.25">
      <c r="A15" s="811" t="s">
        <v>153</v>
      </c>
      <c r="B15" s="767"/>
      <c r="C15" s="767"/>
      <c r="D15" s="767"/>
      <c r="E15" s="767"/>
      <c r="F15" s="767"/>
      <c r="G15" s="767"/>
      <c r="H15" s="767"/>
      <c r="I15" s="767"/>
      <c r="J15" s="767"/>
      <c r="K15" s="767" t="s">
        <v>71</v>
      </c>
      <c r="L15" s="767"/>
      <c r="M15" s="767"/>
      <c r="N15" s="767"/>
      <c r="O15" s="767"/>
      <c r="P15" s="767"/>
      <c r="Q15" s="767" t="s">
        <v>69</v>
      </c>
      <c r="R15" s="767"/>
      <c r="S15" s="767" t="s">
        <v>31</v>
      </c>
      <c r="T15" s="767"/>
      <c r="U15" s="767"/>
      <c r="V15" s="814"/>
      <c r="W15" s="816" t="s">
        <v>893</v>
      </c>
      <c r="X15" s="767"/>
      <c r="Y15" s="767"/>
      <c r="Z15" s="767"/>
      <c r="AA15" s="815" t="s">
        <v>69</v>
      </c>
      <c r="AB15" s="767"/>
      <c r="AC15" s="767" t="s">
        <v>31</v>
      </c>
      <c r="AD15" s="767"/>
      <c r="AE15" s="767"/>
      <c r="AF15" s="767"/>
      <c r="AG15" s="814" t="s">
        <v>290</v>
      </c>
      <c r="AH15" s="849"/>
      <c r="AI15" s="849"/>
      <c r="AJ15" s="849"/>
      <c r="AK15" s="849"/>
      <c r="AL15" s="849"/>
      <c r="AM15" s="815"/>
      <c r="AN15" s="814" t="s">
        <v>72</v>
      </c>
      <c r="AO15" s="830"/>
      <c r="AP15" s="830"/>
      <c r="AQ15" s="830"/>
      <c r="AR15" s="830"/>
      <c r="AS15" s="830"/>
      <c r="AT15" s="830"/>
      <c r="AU15" s="830"/>
      <c r="AV15" s="830"/>
      <c r="AW15" s="830"/>
      <c r="AX15" s="830"/>
      <c r="AY15" s="830"/>
      <c r="AZ15" s="830"/>
      <c r="BA15" s="830"/>
      <c r="BB15" s="830"/>
      <c r="BC15" s="830"/>
      <c r="BD15" s="830"/>
      <c r="BE15" s="830"/>
      <c r="BF15" s="831"/>
    </row>
    <row r="16" spans="1:58" s="8" customFormat="1" ht="12" customHeight="1" x14ac:dyDescent="0.2">
      <c r="A16" s="812" t="s">
        <v>73</v>
      </c>
      <c r="B16" s="813"/>
      <c r="C16" s="813"/>
      <c r="D16" s="813"/>
      <c r="E16" s="813"/>
      <c r="F16" s="813"/>
      <c r="G16" s="813"/>
      <c r="H16" s="813"/>
      <c r="I16" s="813"/>
      <c r="J16" s="813"/>
      <c r="K16" s="807" t="s">
        <v>76</v>
      </c>
      <c r="L16" s="807"/>
      <c r="M16" s="807"/>
      <c r="N16" s="807"/>
      <c r="O16" s="807"/>
      <c r="P16" s="807"/>
      <c r="Q16" s="806" t="str">
        <f>IF(ISBLANK(Rasse),"",IF(Rasse="Zwerg",ROUNDDOWN((St+Gw)/20,0)+1,ROUNDDOWN((St+Gw)/20,0)))</f>
        <v/>
      </c>
      <c r="R16" s="806"/>
      <c r="S16" s="807" t="s">
        <v>74</v>
      </c>
      <c r="T16" s="807"/>
      <c r="U16" s="807"/>
      <c r="V16" s="808"/>
      <c r="W16" s="857" t="s">
        <v>75</v>
      </c>
      <c r="X16" s="858"/>
      <c r="Y16" s="858" t="s">
        <v>75</v>
      </c>
      <c r="Z16" s="858"/>
      <c r="AA16" s="832" t="str">
        <f>IF(ISBLANK(Rasse),"",IF(Last="Normallast",$Q$16+(IF(AND(AnB&gt;0,RK="VR"),1,AnB)),$Q$16+(IF(AND(AnB&gt;0,RK="VR"),1,AnB))-4))</f>
        <v/>
      </c>
      <c r="AB16" s="833"/>
      <c r="AC16" s="836" t="str">
        <f>IF(ISBLANK(Rasse),"",CONCATENATE("1W6",IF((SchB-4)&gt;0,"+"&amp;SchB-4,IF(SchB-4=0,"",SchB-4))))</f>
        <v/>
      </c>
      <c r="AD16" s="836"/>
      <c r="AE16" s="836"/>
      <c r="AF16" s="836"/>
      <c r="AG16" s="808" t="s">
        <v>806</v>
      </c>
      <c r="AH16" s="847"/>
      <c r="AI16" s="847"/>
      <c r="AJ16" s="847"/>
      <c r="AK16" s="847"/>
      <c r="AL16" s="847"/>
      <c r="AM16" s="848"/>
      <c r="AN16" s="852" t="s">
        <v>76</v>
      </c>
      <c r="AO16" s="853"/>
      <c r="AP16" s="853"/>
      <c r="AQ16" s="853"/>
      <c r="AR16" s="853"/>
      <c r="AS16" s="853"/>
      <c r="AT16" s="853"/>
      <c r="AU16" s="853"/>
      <c r="AV16" s="853"/>
      <c r="AW16" s="853"/>
      <c r="AX16" s="853"/>
      <c r="AY16" s="853"/>
      <c r="AZ16" s="853"/>
      <c r="BA16" s="853"/>
      <c r="BB16" s="853"/>
      <c r="BC16" s="853"/>
      <c r="BD16" s="853"/>
      <c r="BE16" s="853"/>
      <c r="BF16" s="854"/>
    </row>
    <row r="17" spans="1:58" s="8" customFormat="1" ht="12" customHeight="1" x14ac:dyDescent="0.2">
      <c r="A17" s="803"/>
      <c r="B17" s="804"/>
      <c r="C17" s="804"/>
      <c r="D17" s="804"/>
      <c r="E17" s="804"/>
      <c r="F17" s="804"/>
      <c r="G17" s="804"/>
      <c r="H17" s="804"/>
      <c r="I17" s="804"/>
      <c r="J17" s="804"/>
      <c r="K17" s="805" t="str">
        <f t="shared" ref="K17:K25" si="0">IF(ISBLANK(A17),"",IF(St&lt;VLOOKUP(A17,Waffenliste,3,FALSE),"zu schwach!",IF(Gs&lt;VLOOKUP(A17,Waffenliste,4,FALSE),"zu ungeschickt!",IF(Gw&lt;VLOOKUP(A17,Waffenliste,5,FALSE),"zu wenig Gw",IF(AND(VLOOKUP(A17,Waffenliste,11,FALSE)="Nein",OR(Rasse="Berggnom",Rasse="Waldgnom",Rasse="Halbling")),"Nicht erlaubt!",VLOOKUP(A17,Waffenliste,2,FALSE))))))</f>
        <v/>
      </c>
      <c r="L17" s="805"/>
      <c r="M17" s="805"/>
      <c r="N17" s="805"/>
      <c r="O17" s="805"/>
      <c r="P17" s="805"/>
      <c r="Q17" s="796" t="str">
        <f t="shared" ref="Q17:Q25" si="1">IF(ISBLANK(A17),"",IF(OR(K17="zu schwach!",K17="zu ungeschickt!"),"",VLOOKUP(K17,Waffengruppe_gelernt,15,FALSE)))</f>
        <v/>
      </c>
      <c r="R17" s="796"/>
      <c r="S17" s="780" t="str">
        <f t="shared" ref="S17:S25" si="2">IF(ISBLANK(A17),"",IF(RIGHT(VLOOKUP(A17,Waffenliste,7,FALSE),2)="+0",LEFT(VLOOKUP(A17,Waffenliste,7,FALSE),3),VLOOKUP(A17,Waffenliste,7,FALSE)))</f>
        <v/>
      </c>
      <c r="T17" s="780"/>
      <c r="U17" s="780"/>
      <c r="V17" s="777"/>
      <c r="W17" s="834"/>
      <c r="X17" s="835"/>
      <c r="Y17" s="835"/>
      <c r="Z17" s="835"/>
      <c r="AA17" s="781" t="str">
        <f t="shared" ref="AA17:AA25" si="3">IF(ISBLANK(A17),"",(Q17+W17+(IF(AND(AnB&gt;0,RK="VR"),1,AnB))+(IF(OR(A17="Kampfgabeln",A17="Kampfgabeln, beidhändig"),6,0))+(IF(OR(SpezWaffe1=(IF(ISERROR(FIND(",",A17)),A17,LEFT(A17,FIND(",",A17)-1))),SpezWaffe2=(IF(ISERROR(FIND(",",A17)),A17,LEFT(A17,FIND(",",A17)-1))),SpezWaffe3=(IF(ISERROR(FIND(",",A17)),A17,LEFT(A17,FIND(",",A17)-1)))),2,0))+(IF(OR(Last="schwere Last",Last="Höchstlast"),-4,0))))</f>
        <v/>
      </c>
      <c r="AB17" s="782"/>
      <c r="AC17" s="783" t="str">
        <f t="shared" ref="AC17:AC25" si="4">IF(ISBLANK(A17),"",IF(VLOOKUP(A17,Waffenliste,8,FALSE)="nah",(LEFT(VLOOKUP(A17,Waffenliste,7,FALSE),1)&amp;"W6"&amp;(IF((RIGHT(VLOOKUP(A17,Waffenliste,7,FALSE),2)+(SchB+Y17))=0,"",(IF(RIGHT(VLOOKUP(A17,Waffenliste,7,FALSE),2)="W6",IF((SchB+Y17)&gt;-1,"+"&amp;(SchB+Y17),SchB+Y17),IF((RIGHT(VLOOKUP(A17,Waffenliste,7,FALSE),2)+(SchB+Y17))&gt;-1,"+"&amp;RIGHT(VLOOKUP(A17,Waffenliste,7,FALSE),2)+(SchB+Y17),RIGHT(VLOOKUP(A17,Waffenliste,7,FALSE),2)+(SchB+Y17))))))),IF(S17="Gift","Gift",LEFT(VLOOKUP(A17,Waffenliste,7,FALSE),1)&amp;"W6"&amp;(IF((RIGHT(VLOOKUP(A17,Waffenliste,7,FALSE),2)+Y17)=0,"",(IF(RIGHT(VLOOKUP(A17,Waffenliste,7,FALSE),2)="W6",IF(Y17&gt;-1,"+"&amp;Y17,SchB+Y17),IF((RIGHT(VLOOKUP(A17,Waffenliste,7,FALSE),2)+Y17)&gt;-1,"+"&amp;RIGHT(VLOOKUP(A17,Waffenliste,7,FALSE),2)+Y17,RIGHT(VLOOKUP(A17,Waffenliste,7,FALSE),2)+Y17))))))))</f>
        <v/>
      </c>
      <c r="AD17" s="783"/>
      <c r="AE17" s="783"/>
      <c r="AF17" s="783"/>
      <c r="AG17" s="777" t="str">
        <f t="shared" ref="AG17:AG25" si="5">IF(ISBLANK(A17),"",VLOOKUP(A17,Waffenliste,8,FALSE))</f>
        <v/>
      </c>
      <c r="AH17" s="778"/>
      <c r="AI17" s="778"/>
      <c r="AJ17" s="778"/>
      <c r="AK17" s="778"/>
      <c r="AL17" s="778"/>
      <c r="AM17" s="779"/>
      <c r="AN17" s="855"/>
      <c r="AO17" s="856"/>
      <c r="AP17" s="856"/>
      <c r="AQ17" s="856"/>
      <c r="AR17" s="856"/>
      <c r="AS17" s="856"/>
      <c r="AT17" s="856"/>
      <c r="AU17" s="856"/>
      <c r="AV17" s="856"/>
      <c r="AW17" s="856"/>
      <c r="AX17" s="856"/>
      <c r="AY17" s="856"/>
      <c r="AZ17" s="856"/>
      <c r="BA17" s="856"/>
      <c r="BB17" s="856"/>
      <c r="BC17" s="856"/>
      <c r="BD17" s="856"/>
      <c r="BE17" s="856"/>
      <c r="BF17" s="449"/>
    </row>
    <row r="18" spans="1:58" s="8" customFormat="1" ht="12" customHeight="1" x14ac:dyDescent="0.2">
      <c r="A18" s="890"/>
      <c r="B18" s="543"/>
      <c r="C18" s="543"/>
      <c r="D18" s="543"/>
      <c r="E18" s="543"/>
      <c r="F18" s="543"/>
      <c r="G18" s="543"/>
      <c r="H18" s="543"/>
      <c r="I18" s="543"/>
      <c r="J18" s="543"/>
      <c r="K18" s="891" t="str">
        <f t="shared" si="0"/>
        <v/>
      </c>
      <c r="L18" s="891"/>
      <c r="M18" s="891"/>
      <c r="N18" s="891"/>
      <c r="O18" s="891"/>
      <c r="P18" s="891"/>
      <c r="Q18" s="797" t="str">
        <f t="shared" si="1"/>
        <v/>
      </c>
      <c r="R18" s="797"/>
      <c r="S18" s="787" t="str">
        <f t="shared" si="2"/>
        <v/>
      </c>
      <c r="T18" s="787"/>
      <c r="U18" s="787"/>
      <c r="V18" s="533"/>
      <c r="W18" s="788"/>
      <c r="X18" s="789"/>
      <c r="Y18" s="789"/>
      <c r="Z18" s="789"/>
      <c r="AA18" s="784" t="str">
        <f t="shared" si="3"/>
        <v/>
      </c>
      <c r="AB18" s="785"/>
      <c r="AC18" s="786" t="str">
        <f t="shared" si="4"/>
        <v/>
      </c>
      <c r="AD18" s="786"/>
      <c r="AE18" s="786"/>
      <c r="AF18" s="786"/>
      <c r="AG18" s="533" t="str">
        <f t="shared" si="5"/>
        <v/>
      </c>
      <c r="AH18" s="790"/>
      <c r="AI18" s="790"/>
      <c r="AJ18" s="790"/>
      <c r="AK18" s="790"/>
      <c r="AL18" s="790"/>
      <c r="AM18" s="545"/>
      <c r="AN18" s="859"/>
      <c r="AO18" s="860"/>
      <c r="AP18" s="860"/>
      <c r="AQ18" s="860"/>
      <c r="AR18" s="860"/>
      <c r="AS18" s="860"/>
      <c r="AT18" s="860"/>
      <c r="AU18" s="860"/>
      <c r="AV18" s="860"/>
      <c r="AW18" s="860"/>
      <c r="AX18" s="860"/>
      <c r="AY18" s="860"/>
      <c r="AZ18" s="860"/>
      <c r="BA18" s="860"/>
      <c r="BB18" s="860"/>
      <c r="BC18" s="860"/>
      <c r="BD18" s="860"/>
      <c r="BE18" s="860"/>
      <c r="BF18" s="455"/>
    </row>
    <row r="19" spans="1:58" s="8" customFormat="1" ht="12" customHeight="1" x14ac:dyDescent="0.2">
      <c r="A19" s="803"/>
      <c r="B19" s="804"/>
      <c r="C19" s="804"/>
      <c r="D19" s="804"/>
      <c r="E19" s="804"/>
      <c r="F19" s="804"/>
      <c r="G19" s="804"/>
      <c r="H19" s="804"/>
      <c r="I19" s="804"/>
      <c r="J19" s="804"/>
      <c r="K19" s="805" t="str">
        <f t="shared" si="0"/>
        <v/>
      </c>
      <c r="L19" s="805"/>
      <c r="M19" s="805"/>
      <c r="N19" s="805"/>
      <c r="O19" s="805"/>
      <c r="P19" s="805"/>
      <c r="Q19" s="796" t="str">
        <f t="shared" si="1"/>
        <v/>
      </c>
      <c r="R19" s="796"/>
      <c r="S19" s="780" t="str">
        <f t="shared" si="2"/>
        <v/>
      </c>
      <c r="T19" s="780"/>
      <c r="U19" s="780"/>
      <c r="V19" s="777"/>
      <c r="W19" s="834"/>
      <c r="X19" s="835"/>
      <c r="Y19" s="835"/>
      <c r="Z19" s="835"/>
      <c r="AA19" s="781" t="str">
        <f t="shared" si="3"/>
        <v/>
      </c>
      <c r="AB19" s="782"/>
      <c r="AC19" s="783" t="str">
        <f t="shared" si="4"/>
        <v/>
      </c>
      <c r="AD19" s="783"/>
      <c r="AE19" s="783"/>
      <c r="AF19" s="783"/>
      <c r="AG19" s="777" t="str">
        <f t="shared" si="5"/>
        <v/>
      </c>
      <c r="AH19" s="778"/>
      <c r="AI19" s="778"/>
      <c r="AJ19" s="778"/>
      <c r="AK19" s="778"/>
      <c r="AL19" s="778"/>
      <c r="AM19" s="779"/>
      <c r="AN19" s="855"/>
      <c r="AO19" s="856"/>
      <c r="AP19" s="856"/>
      <c r="AQ19" s="856"/>
      <c r="AR19" s="856"/>
      <c r="AS19" s="856"/>
      <c r="AT19" s="856"/>
      <c r="AU19" s="856"/>
      <c r="AV19" s="856"/>
      <c r="AW19" s="856"/>
      <c r="AX19" s="856"/>
      <c r="AY19" s="856"/>
      <c r="AZ19" s="856"/>
      <c r="BA19" s="856"/>
      <c r="BB19" s="856"/>
      <c r="BC19" s="856"/>
      <c r="BD19" s="856"/>
      <c r="BE19" s="856"/>
      <c r="BF19" s="449"/>
    </row>
    <row r="20" spans="1:58" s="8" customFormat="1" ht="12" customHeight="1" x14ac:dyDescent="0.2">
      <c r="A20" s="890"/>
      <c r="B20" s="543"/>
      <c r="C20" s="543"/>
      <c r="D20" s="543"/>
      <c r="E20" s="543"/>
      <c r="F20" s="543"/>
      <c r="G20" s="543"/>
      <c r="H20" s="543"/>
      <c r="I20" s="543"/>
      <c r="J20" s="543"/>
      <c r="K20" s="891" t="str">
        <f t="shared" si="0"/>
        <v/>
      </c>
      <c r="L20" s="891"/>
      <c r="M20" s="891"/>
      <c r="N20" s="891"/>
      <c r="O20" s="891"/>
      <c r="P20" s="891"/>
      <c r="Q20" s="797" t="str">
        <f t="shared" si="1"/>
        <v/>
      </c>
      <c r="R20" s="797"/>
      <c r="S20" s="787" t="str">
        <f t="shared" si="2"/>
        <v/>
      </c>
      <c r="T20" s="787"/>
      <c r="U20" s="787"/>
      <c r="V20" s="533"/>
      <c r="W20" s="788"/>
      <c r="X20" s="789"/>
      <c r="Y20" s="789"/>
      <c r="Z20" s="789"/>
      <c r="AA20" s="784" t="str">
        <f t="shared" si="3"/>
        <v/>
      </c>
      <c r="AB20" s="785"/>
      <c r="AC20" s="786" t="str">
        <f t="shared" si="4"/>
        <v/>
      </c>
      <c r="AD20" s="786"/>
      <c r="AE20" s="786"/>
      <c r="AF20" s="786"/>
      <c r="AG20" s="533" t="str">
        <f t="shared" si="5"/>
        <v/>
      </c>
      <c r="AH20" s="790"/>
      <c r="AI20" s="790"/>
      <c r="AJ20" s="790"/>
      <c r="AK20" s="790"/>
      <c r="AL20" s="790"/>
      <c r="AM20" s="545"/>
      <c r="AN20" s="859"/>
      <c r="AO20" s="860"/>
      <c r="AP20" s="860"/>
      <c r="AQ20" s="860"/>
      <c r="AR20" s="860"/>
      <c r="AS20" s="860"/>
      <c r="AT20" s="860"/>
      <c r="AU20" s="860"/>
      <c r="AV20" s="860"/>
      <c r="AW20" s="860"/>
      <c r="AX20" s="860"/>
      <c r="AY20" s="860"/>
      <c r="AZ20" s="860"/>
      <c r="BA20" s="860"/>
      <c r="BB20" s="860"/>
      <c r="BC20" s="860"/>
      <c r="BD20" s="860"/>
      <c r="BE20" s="860"/>
      <c r="BF20" s="455"/>
    </row>
    <row r="21" spans="1:58" s="14" customFormat="1" ht="12" customHeight="1" x14ac:dyDescent="0.2">
      <c r="A21" s="803"/>
      <c r="B21" s="804"/>
      <c r="C21" s="804"/>
      <c r="D21" s="804"/>
      <c r="E21" s="804"/>
      <c r="F21" s="804"/>
      <c r="G21" s="804"/>
      <c r="H21" s="804"/>
      <c r="I21" s="804"/>
      <c r="J21" s="804"/>
      <c r="K21" s="805" t="str">
        <f t="shared" si="0"/>
        <v/>
      </c>
      <c r="L21" s="805"/>
      <c r="M21" s="805"/>
      <c r="N21" s="805"/>
      <c r="O21" s="805"/>
      <c r="P21" s="805"/>
      <c r="Q21" s="796" t="str">
        <f t="shared" si="1"/>
        <v/>
      </c>
      <c r="R21" s="796"/>
      <c r="S21" s="780" t="str">
        <f t="shared" si="2"/>
        <v/>
      </c>
      <c r="T21" s="780"/>
      <c r="U21" s="780"/>
      <c r="V21" s="777"/>
      <c r="W21" s="834"/>
      <c r="X21" s="835"/>
      <c r="Y21" s="835"/>
      <c r="Z21" s="835"/>
      <c r="AA21" s="781" t="str">
        <f t="shared" si="3"/>
        <v/>
      </c>
      <c r="AB21" s="782"/>
      <c r="AC21" s="783" t="str">
        <f t="shared" si="4"/>
        <v/>
      </c>
      <c r="AD21" s="783"/>
      <c r="AE21" s="783"/>
      <c r="AF21" s="783"/>
      <c r="AG21" s="777" t="str">
        <f t="shared" si="5"/>
        <v/>
      </c>
      <c r="AH21" s="778"/>
      <c r="AI21" s="778"/>
      <c r="AJ21" s="778"/>
      <c r="AK21" s="778"/>
      <c r="AL21" s="778"/>
      <c r="AM21" s="779"/>
      <c r="AN21" s="855"/>
      <c r="AO21" s="856"/>
      <c r="AP21" s="856"/>
      <c r="AQ21" s="856"/>
      <c r="AR21" s="856"/>
      <c r="AS21" s="856"/>
      <c r="AT21" s="856"/>
      <c r="AU21" s="856"/>
      <c r="AV21" s="856"/>
      <c r="AW21" s="856"/>
      <c r="AX21" s="856"/>
      <c r="AY21" s="856"/>
      <c r="AZ21" s="856"/>
      <c r="BA21" s="856"/>
      <c r="BB21" s="856"/>
      <c r="BC21" s="856"/>
      <c r="BD21" s="856"/>
      <c r="BE21" s="856"/>
      <c r="BF21" s="449"/>
    </row>
    <row r="22" spans="1:58" s="14" customFormat="1" ht="12" customHeight="1" x14ac:dyDescent="0.2">
      <c r="A22" s="890"/>
      <c r="B22" s="543"/>
      <c r="C22" s="543"/>
      <c r="D22" s="543"/>
      <c r="E22" s="543"/>
      <c r="F22" s="543"/>
      <c r="G22" s="543"/>
      <c r="H22" s="543"/>
      <c r="I22" s="543"/>
      <c r="J22" s="543"/>
      <c r="K22" s="891" t="str">
        <f t="shared" si="0"/>
        <v/>
      </c>
      <c r="L22" s="891"/>
      <c r="M22" s="891"/>
      <c r="N22" s="891"/>
      <c r="O22" s="891"/>
      <c r="P22" s="891"/>
      <c r="Q22" s="797" t="str">
        <f t="shared" si="1"/>
        <v/>
      </c>
      <c r="R22" s="797"/>
      <c r="S22" s="787" t="str">
        <f t="shared" si="2"/>
        <v/>
      </c>
      <c r="T22" s="787"/>
      <c r="U22" s="787"/>
      <c r="V22" s="533"/>
      <c r="W22" s="788"/>
      <c r="X22" s="789"/>
      <c r="Y22" s="789"/>
      <c r="Z22" s="789"/>
      <c r="AA22" s="784" t="str">
        <f t="shared" si="3"/>
        <v/>
      </c>
      <c r="AB22" s="785"/>
      <c r="AC22" s="786" t="str">
        <f t="shared" si="4"/>
        <v/>
      </c>
      <c r="AD22" s="786"/>
      <c r="AE22" s="786"/>
      <c r="AF22" s="786"/>
      <c r="AG22" s="533" t="str">
        <f t="shared" si="5"/>
        <v/>
      </c>
      <c r="AH22" s="790"/>
      <c r="AI22" s="790"/>
      <c r="AJ22" s="790"/>
      <c r="AK22" s="790"/>
      <c r="AL22" s="790"/>
      <c r="AM22" s="545"/>
      <c r="AN22" s="859"/>
      <c r="AO22" s="860"/>
      <c r="AP22" s="860"/>
      <c r="AQ22" s="860"/>
      <c r="AR22" s="860"/>
      <c r="AS22" s="860"/>
      <c r="AT22" s="860"/>
      <c r="AU22" s="860"/>
      <c r="AV22" s="860"/>
      <c r="AW22" s="860"/>
      <c r="AX22" s="860"/>
      <c r="AY22" s="860"/>
      <c r="AZ22" s="860"/>
      <c r="BA22" s="860"/>
      <c r="BB22" s="860"/>
      <c r="BC22" s="860"/>
      <c r="BD22" s="860"/>
      <c r="BE22" s="860"/>
      <c r="BF22" s="455"/>
    </row>
    <row r="23" spans="1:58" s="14" customFormat="1" ht="12" customHeight="1" x14ac:dyDescent="0.2">
      <c r="A23" s="803"/>
      <c r="B23" s="804"/>
      <c r="C23" s="804"/>
      <c r="D23" s="804"/>
      <c r="E23" s="804"/>
      <c r="F23" s="804"/>
      <c r="G23" s="804"/>
      <c r="H23" s="804"/>
      <c r="I23" s="804"/>
      <c r="J23" s="804"/>
      <c r="K23" s="805" t="str">
        <f t="shared" si="0"/>
        <v/>
      </c>
      <c r="L23" s="805"/>
      <c r="M23" s="805"/>
      <c r="N23" s="805"/>
      <c r="O23" s="805"/>
      <c r="P23" s="805"/>
      <c r="Q23" s="796" t="str">
        <f t="shared" si="1"/>
        <v/>
      </c>
      <c r="R23" s="796"/>
      <c r="S23" s="780" t="str">
        <f t="shared" si="2"/>
        <v/>
      </c>
      <c r="T23" s="780"/>
      <c r="U23" s="780"/>
      <c r="V23" s="777"/>
      <c r="W23" s="834"/>
      <c r="X23" s="835"/>
      <c r="Y23" s="835"/>
      <c r="Z23" s="835"/>
      <c r="AA23" s="781" t="str">
        <f t="shared" si="3"/>
        <v/>
      </c>
      <c r="AB23" s="782"/>
      <c r="AC23" s="783" t="str">
        <f t="shared" si="4"/>
        <v/>
      </c>
      <c r="AD23" s="783"/>
      <c r="AE23" s="783"/>
      <c r="AF23" s="783"/>
      <c r="AG23" s="777" t="str">
        <f t="shared" si="5"/>
        <v/>
      </c>
      <c r="AH23" s="778"/>
      <c r="AI23" s="778"/>
      <c r="AJ23" s="778"/>
      <c r="AK23" s="778"/>
      <c r="AL23" s="778"/>
      <c r="AM23" s="779"/>
      <c r="AN23" s="855"/>
      <c r="AO23" s="856"/>
      <c r="AP23" s="856"/>
      <c r="AQ23" s="856"/>
      <c r="AR23" s="856"/>
      <c r="AS23" s="856"/>
      <c r="AT23" s="856"/>
      <c r="AU23" s="856"/>
      <c r="AV23" s="856"/>
      <c r="AW23" s="856"/>
      <c r="AX23" s="856"/>
      <c r="AY23" s="856"/>
      <c r="AZ23" s="856"/>
      <c r="BA23" s="856"/>
      <c r="BB23" s="856"/>
      <c r="BC23" s="856"/>
      <c r="BD23" s="856"/>
      <c r="BE23" s="856"/>
      <c r="BF23" s="449"/>
    </row>
    <row r="24" spans="1:58" s="14" customFormat="1" ht="12" customHeight="1" x14ac:dyDescent="0.2">
      <c r="A24" s="890"/>
      <c r="B24" s="543"/>
      <c r="C24" s="543"/>
      <c r="D24" s="543"/>
      <c r="E24" s="543"/>
      <c r="F24" s="543"/>
      <c r="G24" s="543"/>
      <c r="H24" s="543"/>
      <c r="I24" s="543"/>
      <c r="J24" s="543"/>
      <c r="K24" s="891" t="str">
        <f t="shared" si="0"/>
        <v/>
      </c>
      <c r="L24" s="891"/>
      <c r="M24" s="891"/>
      <c r="N24" s="891"/>
      <c r="O24" s="891"/>
      <c r="P24" s="891"/>
      <c r="Q24" s="797" t="str">
        <f t="shared" si="1"/>
        <v/>
      </c>
      <c r="R24" s="797"/>
      <c r="S24" s="787" t="str">
        <f t="shared" si="2"/>
        <v/>
      </c>
      <c r="T24" s="787"/>
      <c r="U24" s="787"/>
      <c r="V24" s="533"/>
      <c r="W24" s="788"/>
      <c r="X24" s="789"/>
      <c r="Y24" s="789"/>
      <c r="Z24" s="789"/>
      <c r="AA24" s="784" t="str">
        <f t="shared" si="3"/>
        <v/>
      </c>
      <c r="AB24" s="785"/>
      <c r="AC24" s="786" t="str">
        <f t="shared" si="4"/>
        <v/>
      </c>
      <c r="AD24" s="786"/>
      <c r="AE24" s="786"/>
      <c r="AF24" s="786"/>
      <c r="AG24" s="533" t="str">
        <f t="shared" si="5"/>
        <v/>
      </c>
      <c r="AH24" s="790"/>
      <c r="AI24" s="790"/>
      <c r="AJ24" s="790"/>
      <c r="AK24" s="790"/>
      <c r="AL24" s="790"/>
      <c r="AM24" s="545"/>
      <c r="AN24" s="859"/>
      <c r="AO24" s="860"/>
      <c r="AP24" s="860"/>
      <c r="AQ24" s="860"/>
      <c r="AR24" s="860"/>
      <c r="AS24" s="860"/>
      <c r="AT24" s="860"/>
      <c r="AU24" s="860"/>
      <c r="AV24" s="860"/>
      <c r="AW24" s="860"/>
      <c r="AX24" s="860"/>
      <c r="AY24" s="860"/>
      <c r="AZ24" s="860"/>
      <c r="BA24" s="860"/>
      <c r="BB24" s="860"/>
      <c r="BC24" s="860"/>
      <c r="BD24" s="860"/>
      <c r="BE24" s="860"/>
      <c r="BF24" s="455"/>
    </row>
    <row r="25" spans="1:58" s="14" customFormat="1" ht="12" customHeight="1" thickBot="1" x14ac:dyDescent="0.25">
      <c r="A25" s="892"/>
      <c r="B25" s="893"/>
      <c r="C25" s="893"/>
      <c r="D25" s="893"/>
      <c r="E25" s="893"/>
      <c r="F25" s="893"/>
      <c r="G25" s="893"/>
      <c r="H25" s="893"/>
      <c r="I25" s="893"/>
      <c r="J25" s="893"/>
      <c r="K25" s="894" t="str">
        <f t="shared" si="0"/>
        <v/>
      </c>
      <c r="L25" s="894"/>
      <c r="M25" s="894"/>
      <c r="N25" s="894"/>
      <c r="O25" s="894"/>
      <c r="P25" s="894"/>
      <c r="Q25" s="760" t="str">
        <f t="shared" si="1"/>
        <v/>
      </c>
      <c r="R25" s="760"/>
      <c r="S25" s="761" t="str">
        <f t="shared" si="2"/>
        <v/>
      </c>
      <c r="T25" s="761"/>
      <c r="U25" s="761"/>
      <c r="V25" s="762"/>
      <c r="W25" s="763"/>
      <c r="X25" s="764"/>
      <c r="Y25" s="764"/>
      <c r="Z25" s="764"/>
      <c r="AA25" s="766" t="str">
        <f t="shared" si="3"/>
        <v/>
      </c>
      <c r="AB25" s="766"/>
      <c r="AC25" s="765" t="str">
        <f t="shared" si="4"/>
        <v/>
      </c>
      <c r="AD25" s="765"/>
      <c r="AE25" s="765"/>
      <c r="AF25" s="765"/>
      <c r="AG25" s="762" t="str">
        <f t="shared" si="5"/>
        <v/>
      </c>
      <c r="AH25" s="850"/>
      <c r="AI25" s="850"/>
      <c r="AJ25" s="850"/>
      <c r="AK25" s="850"/>
      <c r="AL25" s="850"/>
      <c r="AM25" s="851"/>
      <c r="AN25" s="874"/>
      <c r="AO25" s="565"/>
      <c r="AP25" s="565"/>
      <c r="AQ25" s="565"/>
      <c r="AR25" s="565"/>
      <c r="AS25" s="565"/>
      <c r="AT25" s="565"/>
      <c r="AU25" s="565"/>
      <c r="AV25" s="565"/>
      <c r="AW25" s="565"/>
      <c r="AX25" s="565"/>
      <c r="AY25" s="565"/>
      <c r="AZ25" s="565"/>
      <c r="BA25" s="565"/>
      <c r="BB25" s="565"/>
      <c r="BC25" s="565"/>
      <c r="BD25" s="565"/>
      <c r="BE25" s="565"/>
      <c r="BF25" s="566"/>
    </row>
    <row r="26" spans="1:58" ht="5.0999999999999996" customHeight="1" thickBot="1" x14ac:dyDescent="0.25"/>
    <row r="27" spans="1:58" s="5" customFormat="1" ht="15" customHeight="1" thickBot="1" x14ac:dyDescent="0.25">
      <c r="A27" s="876" t="s">
        <v>78</v>
      </c>
      <c r="B27" s="877"/>
      <c r="C27" s="877"/>
      <c r="D27" s="877"/>
      <c r="E27" s="877"/>
      <c r="F27" s="877"/>
      <c r="G27" s="877"/>
      <c r="H27" s="877"/>
      <c r="I27" s="877"/>
      <c r="J27" s="877"/>
      <c r="K27" s="877"/>
      <c r="L27" s="767" t="s">
        <v>69</v>
      </c>
      <c r="M27" s="767"/>
      <c r="N27" s="814" t="s">
        <v>83</v>
      </c>
      <c r="O27" s="815"/>
      <c r="P27" s="767" t="s">
        <v>893</v>
      </c>
      <c r="Q27" s="767"/>
      <c r="R27" s="767"/>
      <c r="S27" s="767" t="s">
        <v>69</v>
      </c>
      <c r="T27" s="767"/>
      <c r="U27" s="767" t="s">
        <v>79</v>
      </c>
      <c r="V27" s="774"/>
      <c r="X27" s="861" t="s">
        <v>80</v>
      </c>
      <c r="Y27" s="862"/>
      <c r="Z27" s="862"/>
      <c r="AA27" s="862"/>
      <c r="AB27" s="862"/>
      <c r="AC27" s="862"/>
      <c r="AD27" s="862"/>
      <c r="AE27" s="862"/>
      <c r="AF27" s="862"/>
      <c r="AG27" s="862"/>
      <c r="AH27" s="862"/>
      <c r="AI27" s="862"/>
      <c r="AJ27" s="862"/>
      <c r="AK27" s="831"/>
      <c r="AM27" s="865" t="s">
        <v>81</v>
      </c>
      <c r="AN27" s="610"/>
      <c r="AO27" s="610"/>
      <c r="AP27" s="610"/>
      <c r="AQ27" s="610"/>
      <c r="AR27" s="610"/>
      <c r="AS27" s="610"/>
      <c r="AT27" s="610"/>
      <c r="AU27" s="610" t="s">
        <v>19</v>
      </c>
      <c r="AV27" s="610"/>
      <c r="AW27" s="610" t="s">
        <v>27</v>
      </c>
      <c r="AX27" s="610"/>
      <c r="AY27" s="610" t="s">
        <v>15</v>
      </c>
      <c r="AZ27" s="610"/>
      <c r="BA27" s="610" t="s">
        <v>25</v>
      </c>
      <c r="BB27" s="610"/>
      <c r="BC27" s="610" t="s">
        <v>82</v>
      </c>
      <c r="BD27" s="610"/>
      <c r="BE27" s="610" t="s">
        <v>83</v>
      </c>
      <c r="BF27" s="611"/>
    </row>
    <row r="28" spans="1:58" ht="12" customHeight="1" x14ac:dyDescent="0.2">
      <c r="A28" s="878" t="s">
        <v>84</v>
      </c>
      <c r="B28" s="879"/>
      <c r="C28" s="879"/>
      <c r="D28" s="879"/>
      <c r="E28" s="879"/>
      <c r="F28" s="879"/>
      <c r="G28" s="879"/>
      <c r="H28" s="879"/>
      <c r="I28" s="879"/>
      <c r="J28" s="879"/>
      <c r="K28" s="879"/>
      <c r="L28" s="907" t="str">
        <f>+Abwehr</f>
        <v/>
      </c>
      <c r="M28" s="907"/>
      <c r="N28" s="657" t="str">
        <f t="shared" ref="N28" si="6">IF(AND(AbB&gt;0,RK="KR"),AbB-1,IF(AND(AbB&gt;0,OR(RK="PR",RK="VR")),0,AbB))</f>
        <v/>
      </c>
      <c r="O28" s="657"/>
      <c r="P28" s="768"/>
      <c r="Q28" s="768"/>
      <c r="R28" s="768"/>
      <c r="S28" s="658" t="str">
        <f>IF(Gw="","",IF(Last="Normallast",(Abwehr+$N$28+P28),(Abwehr+$N$28+P28-4)))</f>
        <v/>
      </c>
      <c r="T28" s="658"/>
      <c r="U28" s="775" t="s">
        <v>928</v>
      </c>
      <c r="V28" s="776"/>
      <c r="X28" s="884" t="s">
        <v>85</v>
      </c>
      <c r="Y28" s="885"/>
      <c r="Z28" s="885"/>
      <c r="AA28" s="885"/>
      <c r="AB28" s="885"/>
      <c r="AC28" s="885"/>
      <c r="AD28" s="885"/>
      <c r="AE28" s="885"/>
      <c r="AF28" s="885"/>
      <c r="AG28" s="758" t="str">
        <f>IF(St="","",VLOOKUP(St,Traglast,2,TRUE))</f>
        <v/>
      </c>
      <c r="AH28" s="758"/>
      <c r="AI28" s="758"/>
      <c r="AJ28" s="758"/>
      <c r="AK28" s="759"/>
      <c r="AM28" s="881" t="s">
        <v>86</v>
      </c>
      <c r="AN28" s="881"/>
      <c r="AO28" s="881"/>
      <c r="AP28" s="881"/>
      <c r="AQ28" s="881"/>
      <c r="AR28" s="881"/>
      <c r="AS28" s="881"/>
      <c r="AT28" s="881"/>
      <c r="AU28" s="752">
        <v>-1</v>
      </c>
      <c r="AV28" s="752"/>
      <c r="AW28" s="752">
        <v>0</v>
      </c>
      <c r="AX28" s="752"/>
      <c r="AY28" s="875" t="str">
        <f>Gw</f>
        <v/>
      </c>
      <c r="AZ28" s="875"/>
      <c r="BA28" s="880" t="str">
        <f>IF(BRasse="","",IF(Last="Normallast",BLaufen,ROUNDDOWN(BLaufen/2,0)))</f>
        <v/>
      </c>
      <c r="BB28" s="880"/>
      <c r="BC28" s="641" t="str">
        <f>+AnB</f>
        <v/>
      </c>
      <c r="BD28" s="654"/>
      <c r="BE28" s="641" t="str">
        <f>+AbB</f>
        <v/>
      </c>
      <c r="BF28" s="642"/>
    </row>
    <row r="29" spans="1:58" ht="12" customHeight="1" x14ac:dyDescent="0.2">
      <c r="A29" s="888"/>
      <c r="B29" s="889"/>
      <c r="C29" s="889"/>
      <c r="D29" s="889"/>
      <c r="E29" s="889"/>
      <c r="F29" s="889"/>
      <c r="G29" s="889"/>
      <c r="H29" s="889"/>
      <c r="I29" s="889"/>
      <c r="J29" s="889"/>
      <c r="K29" s="889"/>
      <c r="L29" s="635" t="str">
        <f t="shared" ref="L29:L35" si="7">IF(ISBLANK(A29),"",IF(AND((OR(A29="Kampfstab",A29="Bo-Stab")),(VLOOKUP(VLOOKUP(A29,Waffenliste,2,FALSE),Waffengruppe_gelernt,15,FALSE)&lt;7)),0,IF(AND((OR(A29="Kampfstab",A29="Bo-Stab")),(VLOOKUP(VLOOKUP(A29,Waffenliste,2,FALSE),Waffengruppe_gelernt,15,FALSE)&gt;13)),7,IF(OR(A29="Kampfstab",A29="Bo-Stab"),(VLOOKUP(VLOOKUP(A29,Waffenliste,2,FALSE),Waffengruppe_gelernt,15,FALSE))-6,VLOOKUP(VLOOKUP(A29,Waffenliste,2,FALSE),Waffengruppe_gelernt,15,FALSE)))))</f>
        <v/>
      </c>
      <c r="M29" s="635"/>
      <c r="N29" s="655" t="s">
        <v>75</v>
      </c>
      <c r="O29" s="655"/>
      <c r="P29" s="770"/>
      <c r="Q29" s="770"/>
      <c r="R29" s="770"/>
      <c r="S29" s="656" t="str">
        <f t="shared" ref="S29:S35" si="8">IF(AND(A29&gt;0,Gw&gt;0),(L29+P29+$S$28),"")</f>
        <v/>
      </c>
      <c r="T29" s="656"/>
      <c r="U29" s="750" t="str">
        <f t="shared" ref="U29:U35" si="9">IF(ISBLANK(A29),"",VLOOKUP(A29,Waffenliste,9,FALSE))</f>
        <v/>
      </c>
      <c r="V29" s="751"/>
      <c r="X29" s="886" t="s">
        <v>87</v>
      </c>
      <c r="Y29" s="887"/>
      <c r="Z29" s="887"/>
      <c r="AA29" s="887"/>
      <c r="AB29" s="887"/>
      <c r="AC29" s="887"/>
      <c r="AD29" s="887"/>
      <c r="AE29" s="887"/>
      <c r="AF29" s="887"/>
      <c r="AG29" s="772" t="str">
        <f>IF(St="","",VLOOKUP(St,Traglast,3,TRUE))</f>
        <v/>
      </c>
      <c r="AH29" s="772"/>
      <c r="AI29" s="772"/>
      <c r="AJ29" s="772"/>
      <c r="AK29" s="773"/>
      <c r="AM29" s="771" t="s">
        <v>88</v>
      </c>
      <c r="AN29" s="771"/>
      <c r="AO29" s="771"/>
      <c r="AP29" s="771"/>
      <c r="AQ29" s="771"/>
      <c r="AR29" s="771"/>
      <c r="AS29" s="771"/>
      <c r="AT29" s="771"/>
      <c r="AU29" s="744">
        <v>-2</v>
      </c>
      <c r="AV29" s="744"/>
      <c r="AW29" s="745">
        <v>0</v>
      </c>
      <c r="AX29" s="745"/>
      <c r="AY29" s="791" t="str">
        <f>Gw</f>
        <v/>
      </c>
      <c r="AZ29" s="791"/>
      <c r="BA29" s="863" t="str">
        <f>IF(BRasse="","",IF(Last="Normallast",BLaufen,ROUNDDOWN(BLaufen/2,0)))</f>
        <v/>
      </c>
      <c r="BB29" s="864"/>
      <c r="BC29" s="638" t="str">
        <f>+AnB</f>
        <v/>
      </c>
      <c r="BD29" s="639"/>
      <c r="BE29" s="638" t="str">
        <f>+AbB</f>
        <v/>
      </c>
      <c r="BF29" s="643"/>
    </row>
    <row r="30" spans="1:58" ht="12" customHeight="1" x14ac:dyDescent="0.2">
      <c r="A30" s="647"/>
      <c r="B30" s="648"/>
      <c r="C30" s="648"/>
      <c r="D30" s="648"/>
      <c r="E30" s="648"/>
      <c r="F30" s="648"/>
      <c r="G30" s="648"/>
      <c r="H30" s="648"/>
      <c r="I30" s="648"/>
      <c r="J30" s="648"/>
      <c r="K30" s="648"/>
      <c r="L30" s="649" t="str">
        <f t="shared" si="7"/>
        <v/>
      </c>
      <c r="M30" s="649"/>
      <c r="N30" s="650" t="s">
        <v>75</v>
      </c>
      <c r="O30" s="650"/>
      <c r="P30" s="659"/>
      <c r="Q30" s="659"/>
      <c r="R30" s="659"/>
      <c r="S30" s="769" t="str">
        <f t="shared" si="8"/>
        <v/>
      </c>
      <c r="T30" s="769"/>
      <c r="U30" s="651" t="str">
        <f t="shared" si="9"/>
        <v/>
      </c>
      <c r="V30" s="652"/>
      <c r="X30" s="798" t="s">
        <v>90</v>
      </c>
      <c r="Y30" s="799"/>
      <c r="Z30" s="799"/>
      <c r="AA30" s="799"/>
      <c r="AB30" s="799"/>
      <c r="AC30" s="799"/>
      <c r="AD30" s="799"/>
      <c r="AE30" s="799"/>
      <c r="AF30" s="799"/>
      <c r="AG30" s="792" t="str">
        <f>IF(St="","",VLOOKUP(St,Traglast,4,TRUE))</f>
        <v/>
      </c>
      <c r="AH30" s="792"/>
      <c r="AI30" s="792"/>
      <c r="AJ30" s="792"/>
      <c r="AK30" s="793"/>
      <c r="AM30" s="757" t="s">
        <v>91</v>
      </c>
      <c r="AN30" s="757"/>
      <c r="AO30" s="757"/>
      <c r="AP30" s="757"/>
      <c r="AQ30" s="757"/>
      <c r="AR30" s="757"/>
      <c r="AS30" s="757"/>
      <c r="AT30" s="757"/>
      <c r="AU30" s="752">
        <v>-3</v>
      </c>
      <c r="AV30" s="752"/>
      <c r="AW30" s="542">
        <v>0</v>
      </c>
      <c r="AX30" s="542"/>
      <c r="AY30" s="875" t="str">
        <f>Gw</f>
        <v/>
      </c>
      <c r="AZ30" s="875"/>
      <c r="BA30" s="747" t="str">
        <f>IF(BRasse="","",IF(AND(OR(Rasse="Mensch",Rasse="Elf"),Last="Normallast"),BLaufen-4,IF(AND(OR(Rasse="Mensch",Rasse="Elf"),Last&lt;&gt;"Normallast"),ROUNDDOWN((BLaufen-4)/2,0),IF(AND(OR(Rasse="Berggnom",Rasse="Waldgnom",Rasse="Halbling"),Last="Normallast"),BLaufen-2,IF(AND(OR(Rasse="Berggnom",Rasse="Waldgnom",Rasse="Halbling"),Last&lt;&gt;"Normallast"),ROUNDDOWN((BLaufen-2)/2,0),IF(AND(Rasse="Zwerg",Last="Normallast"),BLaufen-3,IF(AND(Rasse="Zwerg",Last&lt;&gt;"Normallast"),ROUNDDOWN((BLaufen-3)/2,0),"X")))))))</f>
        <v/>
      </c>
      <c r="BB30" s="747"/>
      <c r="BC30" s="636" t="str">
        <f>+AnB</f>
        <v/>
      </c>
      <c r="BD30" s="637"/>
      <c r="BE30" s="636" t="str">
        <f>IF(Gw="","",IF(AbB&gt;=1,AbB-1,AbB))</f>
        <v/>
      </c>
      <c r="BF30" s="644"/>
    </row>
    <row r="31" spans="1:58" ht="12" customHeight="1" thickBot="1" x14ac:dyDescent="0.25">
      <c r="A31" s="888"/>
      <c r="B31" s="889"/>
      <c r="C31" s="889"/>
      <c r="D31" s="889"/>
      <c r="E31" s="889"/>
      <c r="F31" s="889"/>
      <c r="G31" s="889"/>
      <c r="H31" s="889"/>
      <c r="I31" s="889"/>
      <c r="J31" s="889"/>
      <c r="K31" s="889"/>
      <c r="L31" s="635" t="str">
        <f t="shared" si="7"/>
        <v/>
      </c>
      <c r="M31" s="635"/>
      <c r="N31" s="655" t="s">
        <v>75</v>
      </c>
      <c r="O31" s="655"/>
      <c r="P31" s="770"/>
      <c r="Q31" s="770"/>
      <c r="R31" s="770"/>
      <c r="S31" s="656" t="str">
        <f t="shared" si="8"/>
        <v/>
      </c>
      <c r="T31" s="656"/>
      <c r="U31" s="750" t="str">
        <f t="shared" si="9"/>
        <v/>
      </c>
      <c r="V31" s="751"/>
      <c r="X31" s="800" t="s">
        <v>92</v>
      </c>
      <c r="Y31" s="801"/>
      <c r="Z31" s="801"/>
      <c r="AA31" s="801"/>
      <c r="AB31" s="801"/>
      <c r="AC31" s="801"/>
      <c r="AD31" s="801"/>
      <c r="AE31" s="801"/>
      <c r="AF31" s="801"/>
      <c r="AG31" s="794" t="str">
        <f>IF(St="","",VLOOKUP(St,Traglast,5,TRUE))</f>
        <v/>
      </c>
      <c r="AH31" s="794"/>
      <c r="AI31" s="794"/>
      <c r="AJ31" s="794"/>
      <c r="AK31" s="795"/>
      <c r="AM31" s="771" t="s">
        <v>93</v>
      </c>
      <c r="AN31" s="771"/>
      <c r="AO31" s="771"/>
      <c r="AP31" s="771"/>
      <c r="AQ31" s="771"/>
      <c r="AR31" s="771"/>
      <c r="AS31" s="771"/>
      <c r="AT31" s="771"/>
      <c r="AU31" s="744">
        <v>-4</v>
      </c>
      <c r="AV31" s="744"/>
      <c r="AW31" s="745">
        <v>0</v>
      </c>
      <c r="AX31" s="745"/>
      <c r="AY31" s="791" t="str">
        <f>IF(Gw="","",Gw-25)</f>
        <v/>
      </c>
      <c r="AZ31" s="791"/>
      <c r="BA31" s="746" t="str">
        <f>IF(BRasse="","",IF(AND(OR(Rasse="Mensch",Rasse="Elf"),Last="Normallast"),BLaufen-8,IF(AND(OR(Rasse="Mensch",Rasse="Elf"),Last&lt;&gt;"Normallast"),ROUNDDOWN((BLaufen-8)/2,0),IF(AND(OR(Rasse="Berggnom",Rasse="Waldgnom",Rasse="Halbling"),Last="Normallast"),BLaufen-4,IF(AND(OR(Rasse="Berggnom",Rasse="Waldgnom",Rasse="Halbling"),Last&lt;&gt;"Normallast"),ROUNDDOWN((BLaufen-4)/2,0),IF(AND(Rasse="Zwerg",Last="Normallast"),BLaufen-6,IF(AND(Rasse="Zwerg",Last&lt;&gt;"Normallast"),ROUNDDOWN((BLaufen-6)/2,0),"X")))))))</f>
        <v/>
      </c>
      <c r="BB31" s="746"/>
      <c r="BC31" s="638" t="str">
        <f>+AnB</f>
        <v/>
      </c>
      <c r="BD31" s="639"/>
      <c r="BE31" s="638" t="str">
        <f>IF(Gw="","",IF(AbB&gt;=0,0,AbB))</f>
        <v/>
      </c>
      <c r="BF31" s="643"/>
    </row>
    <row r="32" spans="1:58" ht="12" customHeight="1" x14ac:dyDescent="0.2">
      <c r="A32" s="647"/>
      <c r="B32" s="648"/>
      <c r="C32" s="648"/>
      <c r="D32" s="648"/>
      <c r="E32" s="648"/>
      <c r="F32" s="648"/>
      <c r="G32" s="648"/>
      <c r="H32" s="648"/>
      <c r="I32" s="648"/>
      <c r="J32" s="648"/>
      <c r="K32" s="648"/>
      <c r="L32" s="649" t="str">
        <f t="shared" si="7"/>
        <v/>
      </c>
      <c r="M32" s="649"/>
      <c r="N32" s="650" t="s">
        <v>75</v>
      </c>
      <c r="O32" s="650"/>
      <c r="P32" s="659"/>
      <c r="Q32" s="659"/>
      <c r="R32" s="659"/>
      <c r="S32" s="769" t="str">
        <f t="shared" si="8"/>
        <v/>
      </c>
      <c r="T32" s="769"/>
      <c r="U32" s="651" t="str">
        <f t="shared" si="9"/>
        <v/>
      </c>
      <c r="V32" s="652"/>
      <c r="X32" s="896" t="s">
        <v>94</v>
      </c>
      <c r="Y32" s="897"/>
      <c r="Z32" s="897"/>
      <c r="AA32" s="897"/>
      <c r="AB32" s="897"/>
      <c r="AC32" s="897"/>
      <c r="AD32" s="897"/>
      <c r="AE32" s="897"/>
      <c r="AF32" s="897"/>
      <c r="AG32" s="882" t="str">
        <f>IF(St="","",Gewichtsbelastung)</f>
        <v/>
      </c>
      <c r="AH32" s="882"/>
      <c r="AI32" s="882"/>
      <c r="AJ32" s="882"/>
      <c r="AK32" s="883"/>
      <c r="AM32" s="757" t="s">
        <v>95</v>
      </c>
      <c r="AN32" s="757"/>
      <c r="AO32" s="757"/>
      <c r="AP32" s="757"/>
      <c r="AQ32" s="757"/>
      <c r="AR32" s="757"/>
      <c r="AS32" s="757"/>
      <c r="AT32" s="757"/>
      <c r="AU32" s="752">
        <v>-5</v>
      </c>
      <c r="AV32" s="752"/>
      <c r="AW32" s="542">
        <v>0</v>
      </c>
      <c r="AX32" s="542"/>
      <c r="AY32" s="875" t="str">
        <f>IF(Gw="","",Gw-40)</f>
        <v/>
      </c>
      <c r="AZ32" s="875"/>
      <c r="BA32" s="747" t="str">
        <f>IF(BRasse="","",IF(AND(OR(Rasse="Mensch",Rasse="Elf"),Last="Normallast"),BLaufen-12,IF(AND(OR(Rasse="Mensch",Rasse="Elf"),Last&lt;&gt;"Normallast"),ROUNDDOWN((BLaufen-12)/2,0),IF(AND(OR(Rasse="Berggnom",Rasse="Waldgnom",Rasse="Halbling"),Last="Normallast"),BLaufen-6,IF(AND(OR(Rasse="Berggnom",Rasse="Waldgnom",Rasse="Halbling"),Last&lt;&gt;"Normallast"),ROUNDDOWN((BLaufen-6)/2,0),IF(AND(Rasse="Zwerg",Last="Normallast"),BLaufen-9,IF(AND(Rasse="Zwerg",Last&lt;&gt;"Normallast"),ROUNDDOWN((BLaufen-9)/2,0),"X")))))))</f>
        <v/>
      </c>
      <c r="BB32" s="747"/>
      <c r="BC32" s="636" t="str">
        <f>IF(Gs="","",IF(AnB&gt;=1,AnB-1,AnB))</f>
        <v/>
      </c>
      <c r="BD32" s="637"/>
      <c r="BE32" s="636" t="str">
        <f>IF(Gw="","",IF(AbB&gt;=0,0,AbB))</f>
        <v/>
      </c>
      <c r="BF32" s="644"/>
    </row>
    <row r="33" spans="1:58" ht="12" customHeight="1" x14ac:dyDescent="0.2">
      <c r="A33" s="888"/>
      <c r="B33" s="889"/>
      <c r="C33" s="889"/>
      <c r="D33" s="889"/>
      <c r="E33" s="889"/>
      <c r="F33" s="889"/>
      <c r="G33" s="889"/>
      <c r="H33" s="889"/>
      <c r="I33" s="889"/>
      <c r="J33" s="889"/>
      <c r="K33" s="889"/>
      <c r="L33" s="635" t="str">
        <f t="shared" si="7"/>
        <v/>
      </c>
      <c r="M33" s="635"/>
      <c r="N33" s="655" t="s">
        <v>75</v>
      </c>
      <c r="O33" s="655"/>
      <c r="P33" s="770"/>
      <c r="Q33" s="770"/>
      <c r="R33" s="770"/>
      <c r="S33" s="656" t="str">
        <f t="shared" si="8"/>
        <v/>
      </c>
      <c r="T33" s="656"/>
      <c r="U33" s="750" t="str">
        <f t="shared" si="9"/>
        <v/>
      </c>
      <c r="V33" s="751"/>
      <c r="X33" s="898" t="str">
        <f>IF(St="","",IF(Gewichtsbelastung&lt;=Normallast,"Normallast",IF(AND(Gewichtsbelastung&gt;Normallast,Gewichtsbelastung&lt;=schwereLast),"schwere Last",IF(AND(Gewichtsbelastung&gt;schwereLast,Gewichtsbelastung&lt;=Höchstlast),"Höchstlast","überlastet"))))</f>
        <v/>
      </c>
      <c r="Y33" s="899"/>
      <c r="Z33" s="899"/>
      <c r="AA33" s="899"/>
      <c r="AB33" s="899"/>
      <c r="AC33" s="899"/>
      <c r="AD33" s="899"/>
      <c r="AE33" s="899"/>
      <c r="AF33" s="899"/>
      <c r="AG33" s="899"/>
      <c r="AH33" s="899"/>
      <c r="AI33" s="899"/>
      <c r="AJ33" s="899"/>
      <c r="AK33" s="900"/>
      <c r="AM33" s="743" t="s">
        <v>96</v>
      </c>
      <c r="AN33" s="743"/>
      <c r="AO33" s="743"/>
      <c r="AP33" s="743"/>
      <c r="AQ33" s="743"/>
      <c r="AR33" s="743"/>
      <c r="AS33" s="743"/>
      <c r="AT33" s="743"/>
      <c r="AU33" s="744">
        <v>-3</v>
      </c>
      <c r="AV33" s="744"/>
      <c r="AW33" s="745">
        <v>-3</v>
      </c>
      <c r="AX33" s="745"/>
      <c r="AY33" s="746" t="str">
        <f>Gw</f>
        <v/>
      </c>
      <c r="AZ33" s="746"/>
      <c r="BA33" s="745" t="str">
        <f>$BA$30</f>
        <v/>
      </c>
      <c r="BB33" s="745"/>
      <c r="BC33" s="638" t="str">
        <f>+AnB</f>
        <v/>
      </c>
      <c r="BD33" s="639"/>
      <c r="BE33" s="638" t="str">
        <f>+AbB</f>
        <v/>
      </c>
      <c r="BF33" s="643"/>
    </row>
    <row r="34" spans="1:58" ht="12" customHeight="1" x14ac:dyDescent="0.2">
      <c r="A34" s="647"/>
      <c r="B34" s="648"/>
      <c r="C34" s="648"/>
      <c r="D34" s="648"/>
      <c r="E34" s="648"/>
      <c r="F34" s="648"/>
      <c r="G34" s="648"/>
      <c r="H34" s="648"/>
      <c r="I34" s="648"/>
      <c r="J34" s="648"/>
      <c r="K34" s="648"/>
      <c r="L34" s="649" t="str">
        <f t="shared" si="7"/>
        <v/>
      </c>
      <c r="M34" s="649"/>
      <c r="N34" s="650" t="s">
        <v>75</v>
      </c>
      <c r="O34" s="650"/>
      <c r="P34" s="659"/>
      <c r="Q34" s="659"/>
      <c r="R34" s="659"/>
      <c r="S34" s="769" t="str">
        <f t="shared" si="8"/>
        <v/>
      </c>
      <c r="T34" s="769"/>
      <c r="U34" s="651" t="str">
        <f t="shared" si="9"/>
        <v/>
      </c>
      <c r="V34" s="652"/>
      <c r="X34" s="901" t="str">
        <f>IF(St="","",IF(OR(Last="schwere Last",Last="Höchstlast"),"WM-4 auf Angriff, Abwehr und Fertigkeiten. B/2!",IF(Last="überlastet","handlungsunfähig","ohne Einschränkungen")))</f>
        <v/>
      </c>
      <c r="Y34" s="902"/>
      <c r="Z34" s="902"/>
      <c r="AA34" s="902"/>
      <c r="AB34" s="902"/>
      <c r="AC34" s="902"/>
      <c r="AD34" s="902"/>
      <c r="AE34" s="902"/>
      <c r="AF34" s="902"/>
      <c r="AG34" s="902"/>
      <c r="AH34" s="902"/>
      <c r="AI34" s="902"/>
      <c r="AJ34" s="902"/>
      <c r="AK34" s="903"/>
      <c r="AM34" s="756" t="s">
        <v>97</v>
      </c>
      <c r="AN34" s="756"/>
      <c r="AO34" s="756"/>
      <c r="AP34" s="756"/>
      <c r="AQ34" s="756"/>
      <c r="AR34" s="756"/>
      <c r="AS34" s="756"/>
      <c r="AT34" s="756"/>
      <c r="AU34" s="752">
        <v>-4</v>
      </c>
      <c r="AV34" s="752"/>
      <c r="AW34" s="542">
        <v>-4</v>
      </c>
      <c r="AX34" s="542"/>
      <c r="AY34" s="747" t="str">
        <f>IF(Gw="","",Gw-25)</f>
        <v/>
      </c>
      <c r="AZ34" s="747"/>
      <c r="BA34" s="542" t="str">
        <f>$BA$31</f>
        <v/>
      </c>
      <c r="BB34" s="542"/>
      <c r="BC34" s="636" t="str">
        <f>+AnB</f>
        <v/>
      </c>
      <c r="BD34" s="637"/>
      <c r="BE34" s="636" t="str">
        <f>+AbB</f>
        <v/>
      </c>
      <c r="BF34" s="644"/>
    </row>
    <row r="35" spans="1:58" ht="12" customHeight="1" thickBot="1" x14ac:dyDescent="0.25">
      <c r="A35" s="908"/>
      <c r="B35" s="909"/>
      <c r="C35" s="909"/>
      <c r="D35" s="909"/>
      <c r="E35" s="909"/>
      <c r="F35" s="909"/>
      <c r="G35" s="909"/>
      <c r="H35" s="909"/>
      <c r="I35" s="909"/>
      <c r="J35" s="909"/>
      <c r="K35" s="909"/>
      <c r="L35" s="910" t="str">
        <f t="shared" si="7"/>
        <v/>
      </c>
      <c r="M35" s="910"/>
      <c r="N35" s="734" t="s">
        <v>75</v>
      </c>
      <c r="O35" s="734"/>
      <c r="P35" s="735"/>
      <c r="Q35" s="735"/>
      <c r="R35" s="735"/>
      <c r="S35" s="736" t="str">
        <f t="shared" si="8"/>
        <v/>
      </c>
      <c r="T35" s="736"/>
      <c r="U35" s="753" t="str">
        <f t="shared" si="9"/>
        <v/>
      </c>
      <c r="V35" s="754"/>
      <c r="X35" s="904"/>
      <c r="Y35" s="905"/>
      <c r="Z35" s="905"/>
      <c r="AA35" s="905"/>
      <c r="AB35" s="905"/>
      <c r="AC35" s="905"/>
      <c r="AD35" s="905"/>
      <c r="AE35" s="905"/>
      <c r="AF35" s="905"/>
      <c r="AG35" s="905"/>
      <c r="AH35" s="905"/>
      <c r="AI35" s="905"/>
      <c r="AJ35" s="905"/>
      <c r="AK35" s="906"/>
      <c r="AM35" s="664" t="s">
        <v>98</v>
      </c>
      <c r="AN35" s="664"/>
      <c r="AO35" s="664"/>
      <c r="AP35" s="664"/>
      <c r="AQ35" s="664"/>
      <c r="AR35" s="664"/>
      <c r="AS35" s="664"/>
      <c r="AT35" s="664"/>
      <c r="AU35" s="748">
        <v>-5</v>
      </c>
      <c r="AV35" s="748"/>
      <c r="AW35" s="748">
        <v>-5</v>
      </c>
      <c r="AX35" s="748"/>
      <c r="AY35" s="749" t="str">
        <f>IF(Gw="","",Gw-40)</f>
        <v/>
      </c>
      <c r="AZ35" s="749"/>
      <c r="BA35" s="748" t="str">
        <f>$BA$32</f>
        <v/>
      </c>
      <c r="BB35" s="748"/>
      <c r="BC35" s="645" t="str">
        <f>+AnB</f>
        <v/>
      </c>
      <c r="BD35" s="653"/>
      <c r="BE35" s="645" t="str">
        <f>+AbB</f>
        <v/>
      </c>
      <c r="BF35" s="646"/>
    </row>
    <row r="36" spans="1:58" ht="5.0999999999999996" customHeight="1" thickBot="1" x14ac:dyDescent="0.25"/>
    <row r="37" spans="1:58" s="20" customFormat="1" ht="15" customHeight="1" thickBot="1" x14ac:dyDescent="0.25">
      <c r="A37" s="733" t="s">
        <v>280</v>
      </c>
      <c r="B37" s="733"/>
      <c r="C37" s="733"/>
      <c r="D37" s="733"/>
      <c r="E37" s="733"/>
      <c r="F37" s="733"/>
      <c r="G37" s="733"/>
      <c r="H37" s="733"/>
      <c r="I37" s="733"/>
      <c r="J37" s="733"/>
      <c r="K37" s="663" t="s">
        <v>69</v>
      </c>
      <c r="L37" s="663"/>
      <c r="M37" s="663" t="s">
        <v>99</v>
      </c>
      <c r="N37" s="663"/>
      <c r="O37" s="663" t="s">
        <v>69</v>
      </c>
      <c r="P37" s="663"/>
      <c r="Q37" s="662" t="s">
        <v>70</v>
      </c>
      <c r="R37" s="662"/>
      <c r="S37" s="19"/>
      <c r="U37" s="733" t="s">
        <v>280</v>
      </c>
      <c r="V37" s="733"/>
      <c r="W37" s="733"/>
      <c r="X37" s="733"/>
      <c r="Y37" s="733"/>
      <c r="Z37" s="733"/>
      <c r="AA37" s="733"/>
      <c r="AB37" s="733"/>
      <c r="AC37" s="733"/>
      <c r="AD37" s="733"/>
      <c r="AE37" s="663" t="s">
        <v>69</v>
      </c>
      <c r="AF37" s="663"/>
      <c r="AG37" s="663" t="s">
        <v>99</v>
      </c>
      <c r="AH37" s="663"/>
      <c r="AI37" s="663" t="s">
        <v>69</v>
      </c>
      <c r="AJ37" s="663"/>
      <c r="AK37" s="662" t="s">
        <v>70</v>
      </c>
      <c r="AL37" s="662"/>
      <c r="AO37" s="733" t="s">
        <v>117</v>
      </c>
      <c r="AP37" s="733"/>
      <c r="AQ37" s="733"/>
      <c r="AR37" s="733"/>
      <c r="AS37" s="733"/>
      <c r="AT37" s="733"/>
      <c r="AU37" s="733"/>
      <c r="AV37" s="733"/>
      <c r="AW37" s="733"/>
      <c r="AX37" s="733"/>
      <c r="AY37" s="663" t="s">
        <v>69</v>
      </c>
      <c r="AZ37" s="663"/>
      <c r="BA37" s="663" t="s">
        <v>99</v>
      </c>
      <c r="BB37" s="663"/>
      <c r="BC37" s="663" t="s">
        <v>69</v>
      </c>
      <c r="BD37" s="663"/>
      <c r="BE37" s="662" t="s">
        <v>70</v>
      </c>
      <c r="BF37" s="662"/>
    </row>
    <row r="38" spans="1:58" ht="12" customHeight="1" x14ac:dyDescent="0.2">
      <c r="A38" s="740" t="s">
        <v>1355</v>
      </c>
      <c r="B38" s="741"/>
      <c r="C38" s="741"/>
      <c r="D38" s="741"/>
      <c r="E38" s="741"/>
      <c r="F38" s="741"/>
      <c r="G38" s="738"/>
      <c r="H38" s="738"/>
      <c r="I38" s="738"/>
      <c r="J38" s="739"/>
      <c r="K38" s="670"/>
      <c r="L38" s="670"/>
      <c r="M38" s="671" t="str">
        <f>+pAB</f>
        <v/>
      </c>
      <c r="N38" s="671"/>
      <c r="O38" s="672" t="str">
        <f>IF(K38&gt;0,K38+M38,"")</f>
        <v/>
      </c>
      <c r="P38" s="672"/>
      <c r="Q38" s="673"/>
      <c r="R38" s="673"/>
      <c r="S38" s="14"/>
      <c r="U38" s="580" t="s">
        <v>119</v>
      </c>
      <c r="V38" s="580"/>
      <c r="W38" s="580"/>
      <c r="X38" s="580"/>
      <c r="Y38" s="580"/>
      <c r="Z38" s="580"/>
      <c r="AA38" s="580"/>
      <c r="AB38" s="580"/>
      <c r="AC38" s="580"/>
      <c r="AD38" s="580"/>
      <c r="AE38" s="670"/>
      <c r="AF38" s="670"/>
      <c r="AG38" s="671" t="str">
        <f>+GwB</f>
        <v/>
      </c>
      <c r="AH38" s="671"/>
      <c r="AI38" s="672" t="str">
        <f>IF(AND(AE38&gt;0,Last="Normallast"),AE38+AG38,IF(AND(ISBLANK(AE38),OR(Last="schwere Last",Last="Höchstlast")),RIGHT(U38,1)-4,IF(OR(Last="schwere Last",Last="Höchstlast"),AE38+AG38-4,"")))</f>
        <v/>
      </c>
      <c r="AJ38" s="672"/>
      <c r="AK38" s="673"/>
      <c r="AL38" s="673"/>
      <c r="AO38" s="710" t="str">
        <f>IF(ISBLANK(Heimat),"Sprechen: Muttersprache",IF(Rasse="Elf","Sprechen: Eldalyn",IF(OR(Rasse="Berggnom",Rasse="Waldgnom"),"Sprechen: Gnomenon",IF(Rasse="Halbling","Sprechen: Halftan",IF(Rasse="Zwerg","Sprechen: Dvarska",CONCATENATE("Sprechen: ",VLOOKUP(Heimat,LandSprache,2,FALSE)))))))</f>
        <v>Sprechen: Muttersprache</v>
      </c>
      <c r="AP38" s="711"/>
      <c r="AQ38" s="711"/>
      <c r="AR38" s="711"/>
      <c r="AS38" s="711"/>
      <c r="AT38" s="711"/>
      <c r="AU38" s="711"/>
      <c r="AV38" s="711"/>
      <c r="AW38" s="711"/>
      <c r="AX38" s="711"/>
      <c r="AY38" s="712">
        <v>12</v>
      </c>
      <c r="AZ38" s="712"/>
      <c r="BA38" s="713" t="str">
        <f t="shared" ref="BA38:BA51" si="10">+InB</f>
        <v/>
      </c>
      <c r="BB38" s="713"/>
      <c r="BC38" s="607" t="str">
        <f>IF(In="","",AY38+BA38)</f>
        <v/>
      </c>
      <c r="BD38" s="607"/>
      <c r="BE38" s="660"/>
      <c r="BF38" s="661"/>
    </row>
    <row r="39" spans="1:58" ht="12" customHeight="1" x14ac:dyDescent="0.2">
      <c r="A39" s="737" t="s">
        <v>281</v>
      </c>
      <c r="B39" s="737"/>
      <c r="C39" s="737"/>
      <c r="D39" s="737"/>
      <c r="E39" s="737"/>
      <c r="F39" s="737"/>
      <c r="G39" s="737"/>
      <c r="H39" s="737"/>
      <c r="I39" s="737"/>
      <c r="J39" s="737"/>
      <c r="K39" s="742"/>
      <c r="L39" s="742"/>
      <c r="M39" s="715" t="str">
        <f>+GwB</f>
        <v/>
      </c>
      <c r="N39" s="715"/>
      <c r="O39" s="678" t="str">
        <f>IF(AND(K39&gt;0,Last="Normallast"),K39+M39,IF(AND(ISBLANK(K39),OR(Last="schwere Last",Last="Höchstlast")),RIGHT(A39,1)-4,IF(OR(Last="schwere Last",Last="Höchstlast"),K39+M39-4,"")))</f>
        <v/>
      </c>
      <c r="P39" s="678"/>
      <c r="Q39" s="714"/>
      <c r="R39" s="714"/>
      <c r="S39" s="14"/>
      <c r="U39" s="755" t="s">
        <v>1051</v>
      </c>
      <c r="V39" s="755"/>
      <c r="W39" s="755"/>
      <c r="X39" s="755"/>
      <c r="Y39" s="755"/>
      <c r="Z39" s="755"/>
      <c r="AA39" s="755"/>
      <c r="AB39" s="755"/>
      <c r="AC39" s="755"/>
      <c r="AD39" s="755"/>
      <c r="AE39" s="742"/>
      <c r="AF39" s="742"/>
      <c r="AG39" s="715" t="str">
        <f>+GwB</f>
        <v/>
      </c>
      <c r="AH39" s="715"/>
      <c r="AI39" s="678" t="str">
        <f>IF(AND(AE39&gt;0,Last="Normallast"),AE39+AG39,IF(AND(ISBLANK(AE39),OR(Last="schwere Last",Last="Höchstlast")),RIGHT(U39,1)-4,IF(OR(Last="schwere Last",Last="Höchstlast"),AE39+AG39-4,"")))</f>
        <v/>
      </c>
      <c r="AJ39" s="678"/>
      <c r="AK39" s="714"/>
      <c r="AL39" s="714"/>
      <c r="AO39" s="612" t="str">
        <f>IF(ISBLANK(Heimat),"Schreiben: Muttersprache",IF(Rasse="Elf","Schreiben: Eldalyn",IF(OR(Rasse="Berggnom",Rasse="Waldgnom"),"Schreiben: Gnomenon",IF(Rasse="Halbling","Schreiben: Halftan",IF(Rasse="Zwerg","Schreiben: Dvarska",CONCATENATE("Schreiben: ",VLOOKUP(Heimat,LandSprache,2,FALSE)))))))</f>
        <v>Schreiben: Muttersprache</v>
      </c>
      <c r="AP39" s="613"/>
      <c r="AQ39" s="613"/>
      <c r="AR39" s="613"/>
      <c r="AS39" s="613"/>
      <c r="AT39" s="613"/>
      <c r="AU39" s="613"/>
      <c r="AV39" s="613"/>
      <c r="AW39" s="613"/>
      <c r="AX39" s="613"/>
      <c r="AY39" s="614"/>
      <c r="AZ39" s="614"/>
      <c r="BA39" s="624" t="str">
        <f t="shared" si="10"/>
        <v/>
      </c>
      <c r="BB39" s="624"/>
      <c r="BC39" s="621" t="str">
        <f>IF(AY39&gt;0,AY39+BA39,"")</f>
        <v/>
      </c>
      <c r="BD39" s="621"/>
      <c r="BE39" s="617"/>
      <c r="BF39" s="618"/>
    </row>
    <row r="40" spans="1:58" ht="12" customHeight="1" x14ac:dyDescent="0.2">
      <c r="A40" s="665" t="s">
        <v>102</v>
      </c>
      <c r="B40" s="665"/>
      <c r="C40" s="665"/>
      <c r="D40" s="665"/>
      <c r="E40" s="665"/>
      <c r="F40" s="665"/>
      <c r="G40" s="665"/>
      <c r="H40" s="665"/>
      <c r="I40" s="665"/>
      <c r="J40" s="665"/>
      <c r="K40" s="717"/>
      <c r="L40" s="717"/>
      <c r="M40" s="718" t="str">
        <f>+InB</f>
        <v/>
      </c>
      <c r="N40" s="718"/>
      <c r="O40" s="674" t="str">
        <f>IF(K40&gt;0,K40+M40,"")</f>
        <v/>
      </c>
      <c r="P40" s="674"/>
      <c r="Q40" s="676"/>
      <c r="R40" s="676"/>
      <c r="S40" s="14"/>
      <c r="U40" s="623" t="s">
        <v>122</v>
      </c>
      <c r="V40" s="623"/>
      <c r="W40" s="623"/>
      <c r="X40" s="623"/>
      <c r="Y40" s="623"/>
      <c r="Z40" s="623"/>
      <c r="AA40" s="623"/>
      <c r="AB40" s="623"/>
      <c r="AC40" s="623"/>
      <c r="AD40" s="623"/>
      <c r="AE40" s="605"/>
      <c r="AF40" s="605"/>
      <c r="AG40" s="606" t="str">
        <f>+GsB</f>
        <v/>
      </c>
      <c r="AH40" s="606"/>
      <c r="AI40" s="607" t="str">
        <f>IF(AND(AE40&gt;0,Last="Normallast"),AE40+AG40,IF(AND(ISBLANK(AE40),OR(Last="schwere Last",Last="Höchstlast")),RIGHT(U40,1)-4,IF(OR(Last="schwere Last",Last="Höchstlast"),AE40+AG40-4,"")))</f>
        <v/>
      </c>
      <c r="AJ40" s="607"/>
      <c r="AK40" s="616"/>
      <c r="AL40" s="616"/>
      <c r="AO40" s="603" t="s">
        <v>1115</v>
      </c>
      <c r="AP40" s="604"/>
      <c r="AQ40" s="604"/>
      <c r="AR40" s="604"/>
      <c r="AS40" s="604"/>
      <c r="AT40" s="604"/>
      <c r="AU40" s="604"/>
      <c r="AV40" s="604"/>
      <c r="AW40" s="604"/>
      <c r="AX40" s="604"/>
      <c r="AY40" s="605">
        <v>12</v>
      </c>
      <c r="AZ40" s="605"/>
      <c r="BA40" s="606" t="str">
        <f t="shared" si="10"/>
        <v/>
      </c>
      <c r="BB40" s="606"/>
      <c r="BC40" s="607" t="str">
        <f>IF(In="","",AY40+BA40)</f>
        <v/>
      </c>
      <c r="BD40" s="607"/>
      <c r="BE40" s="615"/>
      <c r="BF40" s="616"/>
    </row>
    <row r="41" spans="1:58" ht="12" customHeight="1" x14ac:dyDescent="0.2">
      <c r="A41" s="666" t="s">
        <v>104</v>
      </c>
      <c r="B41" s="666"/>
      <c r="C41" s="666"/>
      <c r="D41" s="666"/>
      <c r="E41" s="666"/>
      <c r="F41" s="666"/>
      <c r="G41" s="666"/>
      <c r="H41" s="666"/>
      <c r="I41" s="666"/>
      <c r="J41" s="666"/>
      <c r="K41" s="667"/>
      <c r="L41" s="667"/>
      <c r="M41" s="640" t="str">
        <f>+pAB</f>
        <v/>
      </c>
      <c r="N41" s="640"/>
      <c r="O41" s="675" t="str">
        <f>IF(K41&gt;0,K41+M41,"")</f>
        <v/>
      </c>
      <c r="P41" s="675"/>
      <c r="Q41" s="677"/>
      <c r="R41" s="677"/>
      <c r="S41" s="14"/>
      <c r="U41" s="633" t="s">
        <v>913</v>
      </c>
      <c r="V41" s="634"/>
      <c r="W41" s="634"/>
      <c r="X41" s="634"/>
      <c r="Y41" s="634"/>
      <c r="Z41" s="634"/>
      <c r="AA41" s="627" t="str">
        <f>IF(OR(Rasse="Elf",Rasse="Halbling"),"+ 6","+ 3")</f>
        <v>+ 3</v>
      </c>
      <c r="AB41" s="627"/>
      <c r="AC41" s="627"/>
      <c r="AD41" s="628"/>
      <c r="AE41" s="614"/>
      <c r="AF41" s="614"/>
      <c r="AG41" s="624" t="str">
        <f>+GwB</f>
        <v/>
      </c>
      <c r="AH41" s="624"/>
      <c r="AI41" s="621" t="str">
        <f>IF(AND(AE41&gt;0,Last="Normallast"),AE41+AG41,IF(AND(ISBLANK(AE41),OR(Last="schwere Last",Last="Höchstlast")),RIGHT(AA41,1)-4,IF(OR(Last="schwere Last",Last="Höchstlast"),AE41+AG41-4,"")))</f>
        <v/>
      </c>
      <c r="AJ41" s="621"/>
      <c r="AK41" s="618"/>
      <c r="AL41" s="618"/>
      <c r="AO41" s="612" t="s">
        <v>1231</v>
      </c>
      <c r="AP41" s="613"/>
      <c r="AQ41" s="613"/>
      <c r="AR41" s="613"/>
      <c r="AS41" s="613"/>
      <c r="AT41" s="613"/>
      <c r="AU41" s="613"/>
      <c r="AV41" s="613"/>
      <c r="AW41" s="613"/>
      <c r="AX41" s="613"/>
      <c r="AY41" s="614"/>
      <c r="AZ41" s="614"/>
      <c r="BA41" s="624" t="str">
        <f t="shared" si="10"/>
        <v/>
      </c>
      <c r="BB41" s="624"/>
      <c r="BC41" s="621" t="str">
        <f t="shared" ref="BC41:BC45" si="11">IF(AY41&gt;0,AY41+BA41,"")</f>
        <v/>
      </c>
      <c r="BD41" s="621"/>
      <c r="BE41" s="617"/>
      <c r="BF41" s="618"/>
    </row>
    <row r="42" spans="1:58" ht="12" customHeight="1" x14ac:dyDescent="0.2">
      <c r="A42" s="665" t="s">
        <v>107</v>
      </c>
      <c r="B42" s="665"/>
      <c r="C42" s="665"/>
      <c r="D42" s="665"/>
      <c r="E42" s="665"/>
      <c r="F42" s="665"/>
      <c r="G42" s="665"/>
      <c r="H42" s="665"/>
      <c r="I42" s="665"/>
      <c r="J42" s="665"/>
      <c r="K42" s="717"/>
      <c r="L42" s="717"/>
      <c r="M42" s="718" t="str">
        <f>+StB</f>
        <v/>
      </c>
      <c r="N42" s="718"/>
      <c r="O42" s="674" t="str">
        <f>IF(K42&gt;0,K42+M42,"")</f>
        <v/>
      </c>
      <c r="P42" s="674"/>
      <c r="Q42" s="676"/>
      <c r="R42" s="676"/>
      <c r="S42" s="14"/>
      <c r="U42" s="623" t="s">
        <v>123</v>
      </c>
      <c r="V42" s="623"/>
      <c r="W42" s="623"/>
      <c r="X42" s="623"/>
      <c r="Y42" s="623"/>
      <c r="Z42" s="623"/>
      <c r="AA42" s="623"/>
      <c r="AB42" s="623"/>
      <c r="AC42" s="623"/>
      <c r="AD42" s="623"/>
      <c r="AE42" s="605"/>
      <c r="AF42" s="605"/>
      <c r="AG42" s="606" t="str">
        <f>+GsB</f>
        <v/>
      </c>
      <c r="AH42" s="606"/>
      <c r="AI42" s="607" t="str">
        <f>IF(AND(AE42&gt;0,Rasse="Elf"),"Elf!",IF(AE42&gt;0,AE42+AG42,""))</f>
        <v/>
      </c>
      <c r="AJ42" s="607"/>
      <c r="AK42" s="616"/>
      <c r="AL42" s="616"/>
      <c r="AO42" s="603"/>
      <c r="AP42" s="604"/>
      <c r="AQ42" s="604"/>
      <c r="AR42" s="604"/>
      <c r="AS42" s="604"/>
      <c r="AT42" s="604"/>
      <c r="AU42" s="604"/>
      <c r="AV42" s="604"/>
      <c r="AW42" s="604"/>
      <c r="AX42" s="604"/>
      <c r="AY42" s="605"/>
      <c r="AZ42" s="605"/>
      <c r="BA42" s="606" t="str">
        <f t="shared" si="10"/>
        <v/>
      </c>
      <c r="BB42" s="606"/>
      <c r="BC42" s="607" t="str">
        <f>IF(AY42&gt;0,AY42+BA42,"")</f>
        <v/>
      </c>
      <c r="BD42" s="607"/>
      <c r="BE42" s="615"/>
      <c r="BF42" s="616"/>
    </row>
    <row r="43" spans="1:58" ht="12" customHeight="1" x14ac:dyDescent="0.2">
      <c r="A43" s="666" t="s">
        <v>283</v>
      </c>
      <c r="B43" s="666"/>
      <c r="C43" s="666"/>
      <c r="D43" s="666"/>
      <c r="E43" s="666"/>
      <c r="F43" s="666"/>
      <c r="G43" s="666"/>
      <c r="H43" s="666"/>
      <c r="I43" s="666"/>
      <c r="J43" s="666"/>
      <c r="K43" s="667"/>
      <c r="L43" s="667"/>
      <c r="M43" s="640" t="str">
        <f>+GwB</f>
        <v/>
      </c>
      <c r="N43" s="640"/>
      <c r="O43" s="678" t="str">
        <f>IF(AND(K43&gt;0,Last="Normallast"),K43+M43,IF(AND(ISBLANK(K43),OR(Last="schwere Last",Last="Höchstlast")),RIGHT(A43,1)-4,IF(OR(Last="schwere Last",Last="Höchstlast"),K43+M43-4,"")))</f>
        <v/>
      </c>
      <c r="P43" s="678"/>
      <c r="Q43" s="677"/>
      <c r="R43" s="677"/>
      <c r="S43" s="14"/>
      <c r="U43" s="626" t="s">
        <v>286</v>
      </c>
      <c r="V43" s="626"/>
      <c r="W43" s="626"/>
      <c r="X43" s="626"/>
      <c r="Y43" s="626"/>
      <c r="Z43" s="626"/>
      <c r="AA43" s="626"/>
      <c r="AB43" s="626"/>
      <c r="AC43" s="626"/>
      <c r="AD43" s="626"/>
      <c r="AE43" s="614"/>
      <c r="AF43" s="614"/>
      <c r="AG43" s="624" t="str">
        <f>+GwB</f>
        <v/>
      </c>
      <c r="AH43" s="624"/>
      <c r="AI43" s="621" t="str">
        <f>IF(AND(AE43&gt;0,Last="Normallast"),AE43+AG43,IF(AND(ISBLANK(AE43),OR(Last="schwere Last",Last="Höchstlast")),RIGHT(U43,1)-4,IF(OR(Last="schwere Last",Last="Höchstlast"),AE43+AG43-4,"")))</f>
        <v/>
      </c>
      <c r="AJ43" s="621"/>
      <c r="AK43" s="618"/>
      <c r="AL43" s="618"/>
      <c r="AO43" s="612"/>
      <c r="AP43" s="613"/>
      <c r="AQ43" s="613"/>
      <c r="AR43" s="613"/>
      <c r="AS43" s="613"/>
      <c r="AT43" s="613"/>
      <c r="AU43" s="613"/>
      <c r="AV43" s="613"/>
      <c r="AW43" s="613"/>
      <c r="AX43" s="613"/>
      <c r="AY43" s="614"/>
      <c r="AZ43" s="614"/>
      <c r="BA43" s="624" t="str">
        <f t="shared" si="10"/>
        <v/>
      </c>
      <c r="BB43" s="624"/>
      <c r="BC43" s="621" t="str">
        <f t="shared" si="11"/>
        <v/>
      </c>
      <c r="BD43" s="621"/>
      <c r="BE43" s="617"/>
      <c r="BF43" s="618"/>
    </row>
    <row r="44" spans="1:58" ht="12" customHeight="1" x14ac:dyDescent="0.2">
      <c r="A44" s="665" t="s">
        <v>111</v>
      </c>
      <c r="B44" s="665"/>
      <c r="C44" s="665"/>
      <c r="D44" s="665"/>
      <c r="E44" s="665"/>
      <c r="F44" s="665"/>
      <c r="G44" s="665"/>
      <c r="H44" s="665"/>
      <c r="I44" s="665"/>
      <c r="J44" s="665"/>
      <c r="K44" s="717"/>
      <c r="L44" s="717"/>
      <c r="M44" s="718" t="str">
        <f>+GsB</f>
        <v/>
      </c>
      <c r="N44" s="718"/>
      <c r="O44" s="690" t="str">
        <f>IF(AND(K44&gt;0,Last="Normallast"),K44+M44,IF(AND(ISBLANK(K44),OR(Last="schwere Last",Last="Höchstlast")),RIGHT(A44,1)-4,IF(OR(Last="schwere Last",Last="Höchstlast"),K44+M44-4,"")))</f>
        <v/>
      </c>
      <c r="P44" s="690"/>
      <c r="Q44" s="676"/>
      <c r="R44" s="676"/>
      <c r="S44" s="14"/>
      <c r="U44" s="623" t="s">
        <v>126</v>
      </c>
      <c r="V44" s="623"/>
      <c r="W44" s="623"/>
      <c r="X44" s="623"/>
      <c r="Y44" s="623"/>
      <c r="Z44" s="623"/>
      <c r="AA44" s="623"/>
      <c r="AB44" s="623"/>
      <c r="AC44" s="623"/>
      <c r="AD44" s="623"/>
      <c r="AE44" s="605"/>
      <c r="AF44" s="605"/>
      <c r="AG44" s="606" t="str">
        <f>+GsB</f>
        <v/>
      </c>
      <c r="AH44" s="606"/>
      <c r="AI44" s="607" t="str">
        <f>IF(AE44&gt;0,AE44+AG44,"")</f>
        <v/>
      </c>
      <c r="AJ44" s="607"/>
      <c r="AK44" s="616"/>
      <c r="AL44" s="616"/>
      <c r="AO44" s="603"/>
      <c r="AP44" s="604"/>
      <c r="AQ44" s="604"/>
      <c r="AR44" s="604"/>
      <c r="AS44" s="604"/>
      <c r="AT44" s="604"/>
      <c r="AU44" s="604"/>
      <c r="AV44" s="604"/>
      <c r="AW44" s="604"/>
      <c r="AX44" s="604"/>
      <c r="AY44" s="605"/>
      <c r="AZ44" s="605"/>
      <c r="BA44" s="606" t="str">
        <f t="shared" si="10"/>
        <v/>
      </c>
      <c r="BB44" s="606"/>
      <c r="BC44" s="607" t="str">
        <f t="shared" si="11"/>
        <v/>
      </c>
      <c r="BD44" s="607"/>
      <c r="BE44" s="615"/>
      <c r="BF44" s="616"/>
    </row>
    <row r="45" spans="1:58" ht="12" customHeight="1" x14ac:dyDescent="0.2">
      <c r="A45" s="666" t="s">
        <v>113</v>
      </c>
      <c r="B45" s="666"/>
      <c r="C45" s="666"/>
      <c r="D45" s="666"/>
      <c r="E45" s="666"/>
      <c r="F45" s="666"/>
      <c r="G45" s="666"/>
      <c r="H45" s="666"/>
      <c r="I45" s="666"/>
      <c r="J45" s="666"/>
      <c r="K45" s="667"/>
      <c r="L45" s="667"/>
      <c r="M45" s="640" t="str">
        <f>+pAB</f>
        <v/>
      </c>
      <c r="N45" s="640"/>
      <c r="O45" s="675" t="str">
        <f>IF(K45&gt;0,K45+M45,"")</f>
        <v/>
      </c>
      <c r="P45" s="675"/>
      <c r="Q45" s="677"/>
      <c r="R45" s="677"/>
      <c r="S45" s="14"/>
      <c r="U45" s="633" t="s">
        <v>912</v>
      </c>
      <c r="V45" s="634"/>
      <c r="W45" s="634"/>
      <c r="X45" s="634"/>
      <c r="Y45" s="634"/>
      <c r="Z45" s="634"/>
      <c r="AA45" s="627" t="str">
        <f>IF(OR(Rasse="Elf",Rasse="Waldgnom"),"+ 3","+ 0")</f>
        <v>+ 0</v>
      </c>
      <c r="AB45" s="627"/>
      <c r="AC45" s="627"/>
      <c r="AD45" s="628"/>
      <c r="AE45" s="614"/>
      <c r="AF45" s="614"/>
      <c r="AG45" s="624" t="str">
        <f>+InB</f>
        <v/>
      </c>
      <c r="AH45" s="624"/>
      <c r="AI45" s="621" t="str">
        <f>IF(AE45&gt;0,AE45+AG45,"")</f>
        <v/>
      </c>
      <c r="AJ45" s="621"/>
      <c r="AK45" s="618"/>
      <c r="AL45" s="618"/>
      <c r="AO45" s="612"/>
      <c r="AP45" s="613"/>
      <c r="AQ45" s="613"/>
      <c r="AR45" s="613"/>
      <c r="AS45" s="613"/>
      <c r="AT45" s="613"/>
      <c r="AU45" s="613"/>
      <c r="AV45" s="613"/>
      <c r="AW45" s="613"/>
      <c r="AX45" s="613"/>
      <c r="AY45" s="614"/>
      <c r="AZ45" s="614"/>
      <c r="BA45" s="624" t="str">
        <f t="shared" si="10"/>
        <v/>
      </c>
      <c r="BB45" s="624"/>
      <c r="BC45" s="621" t="str">
        <f t="shared" si="11"/>
        <v/>
      </c>
      <c r="BD45" s="621"/>
      <c r="BE45" s="617"/>
      <c r="BF45" s="618"/>
    </row>
    <row r="46" spans="1:58" ht="12" customHeight="1" x14ac:dyDescent="0.2">
      <c r="A46" s="665" t="s">
        <v>115</v>
      </c>
      <c r="B46" s="665"/>
      <c r="C46" s="665"/>
      <c r="D46" s="665"/>
      <c r="E46" s="665"/>
      <c r="F46" s="665"/>
      <c r="G46" s="665"/>
      <c r="H46" s="665"/>
      <c r="I46" s="665"/>
      <c r="J46" s="665"/>
      <c r="K46" s="717"/>
      <c r="L46" s="717"/>
      <c r="M46" s="718" t="str">
        <f>+GsB</f>
        <v/>
      </c>
      <c r="N46" s="718"/>
      <c r="O46" s="690" t="str">
        <f>IF(AND(K46&gt;0,Last="Normallast"),K46+M46,IF(AND(ISBLANK(K46),OR(Last="schwere Last",Last="Höchstlast")),RIGHT(A46,1)-4,IF(OR(Last="schwere Last",Last="Höchstlast"),K46+M46-4,"")))</f>
        <v/>
      </c>
      <c r="P46" s="690"/>
      <c r="Q46" s="676"/>
      <c r="R46" s="676"/>
      <c r="S46" s="14"/>
      <c r="U46" s="623" t="s">
        <v>129</v>
      </c>
      <c r="V46" s="623"/>
      <c r="W46" s="623"/>
      <c r="X46" s="623"/>
      <c r="Y46" s="623"/>
      <c r="Z46" s="623"/>
      <c r="AA46" s="623"/>
      <c r="AB46" s="623"/>
      <c r="AC46" s="623"/>
      <c r="AD46" s="623"/>
      <c r="AE46" s="605"/>
      <c r="AF46" s="605"/>
      <c r="AG46" s="606" t="str">
        <f>+GsB</f>
        <v/>
      </c>
      <c r="AH46" s="606"/>
      <c r="AI46" s="607" t="str">
        <f>IF(AND(AE46&gt;0,Rasse="Elf"),"Elf!",IF(AE46&gt;0,AE46+AG46,""))</f>
        <v/>
      </c>
      <c r="AJ46" s="607"/>
      <c r="AK46" s="616"/>
      <c r="AL46" s="616"/>
      <c r="AO46" s="603"/>
      <c r="AP46" s="604"/>
      <c r="AQ46" s="604"/>
      <c r="AR46" s="604"/>
      <c r="AS46" s="604"/>
      <c r="AT46" s="604"/>
      <c r="AU46" s="604"/>
      <c r="AV46" s="604"/>
      <c r="AW46" s="604"/>
      <c r="AX46" s="604"/>
      <c r="AY46" s="605"/>
      <c r="AZ46" s="605"/>
      <c r="BA46" s="606" t="str">
        <f t="shared" si="10"/>
        <v/>
      </c>
      <c r="BB46" s="606"/>
      <c r="BC46" s="607" t="str">
        <f t="shared" ref="BC46:BC47" si="12">IF(AY46&gt;0,AY46+BA46,"")</f>
        <v/>
      </c>
      <c r="BD46" s="607"/>
      <c r="BE46" s="615"/>
      <c r="BF46" s="616"/>
    </row>
    <row r="47" spans="1:58" ht="12" customHeight="1" x14ac:dyDescent="0.2">
      <c r="A47" s="666" t="s">
        <v>118</v>
      </c>
      <c r="B47" s="666"/>
      <c r="C47" s="666"/>
      <c r="D47" s="666"/>
      <c r="E47" s="666"/>
      <c r="F47" s="666"/>
      <c r="G47" s="666"/>
      <c r="H47" s="666"/>
      <c r="I47" s="666"/>
      <c r="J47" s="666"/>
      <c r="K47" s="667"/>
      <c r="L47" s="667"/>
      <c r="M47" s="640" t="str">
        <f>+GsB</f>
        <v/>
      </c>
      <c r="N47" s="640"/>
      <c r="O47" s="678" t="str">
        <f>IF(AND(K47&gt;0,Last="Normallast"),K47+M47,IF(AND(ISBLANK(K47),OR(Last="schwere Last",Last="Höchstlast")),RIGHT(A47,1)-4,IF(OR(Last="schwere Last",Last="Höchstlast"),K47+M47-4,"")))</f>
        <v/>
      </c>
      <c r="P47" s="678"/>
      <c r="Q47" s="677"/>
      <c r="R47" s="677"/>
      <c r="S47" s="14"/>
      <c r="U47" s="633" t="s">
        <v>916</v>
      </c>
      <c r="V47" s="634"/>
      <c r="W47" s="634"/>
      <c r="X47" s="634"/>
      <c r="Y47" s="627" t="str">
        <f>IF(OR(Rasse="Halbling",Rasse="Waldgnom"),"+ 6","+ 3")</f>
        <v>+ 3</v>
      </c>
      <c r="Z47" s="627"/>
      <c r="AA47" s="627"/>
      <c r="AB47" s="627"/>
      <c r="AC47" s="627"/>
      <c r="AD47" s="628"/>
      <c r="AE47" s="614"/>
      <c r="AF47" s="614"/>
      <c r="AG47" s="624" t="str">
        <f>+GwB</f>
        <v/>
      </c>
      <c r="AH47" s="624"/>
      <c r="AI47" s="621" t="str">
        <f>IF(AE47&gt;0,AE47+AG47,"")</f>
        <v/>
      </c>
      <c r="AJ47" s="621"/>
      <c r="AK47" s="618"/>
      <c r="AL47" s="618"/>
      <c r="AO47" s="612"/>
      <c r="AP47" s="613"/>
      <c r="AQ47" s="613"/>
      <c r="AR47" s="613"/>
      <c r="AS47" s="613"/>
      <c r="AT47" s="613"/>
      <c r="AU47" s="613"/>
      <c r="AV47" s="613"/>
      <c r="AW47" s="613"/>
      <c r="AX47" s="613"/>
      <c r="AY47" s="614"/>
      <c r="AZ47" s="614"/>
      <c r="BA47" s="624" t="str">
        <f t="shared" si="10"/>
        <v/>
      </c>
      <c r="BB47" s="624"/>
      <c r="BC47" s="621" t="str">
        <f t="shared" si="12"/>
        <v/>
      </c>
      <c r="BD47" s="621"/>
      <c r="BE47" s="617"/>
      <c r="BF47" s="618"/>
    </row>
    <row r="48" spans="1:58" ht="12" customHeight="1" x14ac:dyDescent="0.2">
      <c r="A48" s="665" t="s">
        <v>120</v>
      </c>
      <c r="B48" s="665"/>
      <c r="C48" s="665"/>
      <c r="D48" s="665"/>
      <c r="E48" s="665"/>
      <c r="F48" s="665"/>
      <c r="G48" s="665"/>
      <c r="H48" s="665"/>
      <c r="I48" s="665"/>
      <c r="J48" s="665"/>
      <c r="K48" s="717"/>
      <c r="L48" s="717"/>
      <c r="M48" s="718" t="str">
        <f>+GsB</f>
        <v/>
      </c>
      <c r="N48" s="718"/>
      <c r="O48" s="674" t="str">
        <f>IF(K48&gt;0,K48+M48,"")</f>
        <v/>
      </c>
      <c r="P48" s="674"/>
      <c r="Q48" s="676"/>
      <c r="R48" s="676"/>
      <c r="S48" s="14"/>
      <c r="U48" s="623" t="s">
        <v>131</v>
      </c>
      <c r="V48" s="623"/>
      <c r="W48" s="623"/>
      <c r="X48" s="623"/>
      <c r="Y48" s="623"/>
      <c r="Z48" s="623"/>
      <c r="AA48" s="623"/>
      <c r="AB48" s="623"/>
      <c r="AC48" s="623"/>
      <c r="AD48" s="623"/>
      <c r="AE48" s="605"/>
      <c r="AF48" s="605"/>
      <c r="AG48" s="606" t="str">
        <f>+KoB</f>
        <v/>
      </c>
      <c r="AH48" s="606"/>
      <c r="AI48" s="607" t="str">
        <f>IF(AND(AE48&gt;0,Last="Normallast"),AE48+AG48,IF(AND(ISBLANK(AE48),OR(Last="schwere Last",Last="Höchstlast")),RIGHT(U48,1)-4,IF(OR(Last="schwere Last",Last="Höchstlast"),AE48+AG48-4,"")))</f>
        <v/>
      </c>
      <c r="AJ48" s="607"/>
      <c r="AK48" s="616"/>
      <c r="AL48" s="616"/>
      <c r="AO48" s="603"/>
      <c r="AP48" s="604"/>
      <c r="AQ48" s="604"/>
      <c r="AR48" s="604"/>
      <c r="AS48" s="604"/>
      <c r="AT48" s="604"/>
      <c r="AU48" s="604"/>
      <c r="AV48" s="604"/>
      <c r="AW48" s="604"/>
      <c r="AX48" s="604"/>
      <c r="AY48" s="605"/>
      <c r="AZ48" s="605"/>
      <c r="BA48" s="606" t="str">
        <f t="shared" si="10"/>
        <v/>
      </c>
      <c r="BB48" s="606"/>
      <c r="BC48" s="607" t="str">
        <f t="shared" ref="BC48:BC51" si="13">IF(AY48&gt;0,AY48+BA48,"")</f>
        <v/>
      </c>
      <c r="BD48" s="607"/>
      <c r="BE48" s="615"/>
      <c r="BF48" s="616"/>
    </row>
    <row r="49" spans="1:58" ht="12" customHeight="1" x14ac:dyDescent="0.2">
      <c r="A49" s="666" t="s">
        <v>121</v>
      </c>
      <c r="B49" s="666"/>
      <c r="C49" s="666"/>
      <c r="D49" s="666"/>
      <c r="E49" s="666"/>
      <c r="F49" s="666"/>
      <c r="G49" s="666"/>
      <c r="H49" s="666"/>
      <c r="I49" s="666"/>
      <c r="J49" s="666"/>
      <c r="K49" s="667"/>
      <c r="L49" s="667"/>
      <c r="M49" s="640" t="str">
        <f>+InB</f>
        <v/>
      </c>
      <c r="N49" s="640"/>
      <c r="O49" s="675" t="str">
        <f>IF(K49&gt;0,K49+M49,"")</f>
        <v/>
      </c>
      <c r="P49" s="675"/>
      <c r="Q49" s="677"/>
      <c r="R49" s="677"/>
      <c r="S49" s="14"/>
      <c r="U49" s="626" t="s">
        <v>1354</v>
      </c>
      <c r="V49" s="626"/>
      <c r="W49" s="626"/>
      <c r="X49" s="626"/>
      <c r="Y49" s="626"/>
      <c r="Z49" s="626"/>
      <c r="AA49" s="626"/>
      <c r="AB49" s="626"/>
      <c r="AC49" s="626"/>
      <c r="AD49" s="626"/>
      <c r="AE49" s="614"/>
      <c r="AF49" s="614"/>
      <c r="AG49" s="624" t="str">
        <f>+InB</f>
        <v/>
      </c>
      <c r="AH49" s="624"/>
      <c r="AI49" s="621" t="str">
        <f>IF(AND(AE49&gt;0,Last="Normallast"),AE49+AG49,IF(AND(ISBLANK(AE49),OR(Last="schwere Last",Last="Höchstlast")),RIGHT(U49,1)-4,IF(OR(Last="schwere Last",Last="Höchstlast"),AE49+AG49-4,"")))</f>
        <v/>
      </c>
      <c r="AJ49" s="621"/>
      <c r="AK49" s="618"/>
      <c r="AL49" s="618"/>
      <c r="AO49" s="612" t="s">
        <v>1167</v>
      </c>
      <c r="AP49" s="613"/>
      <c r="AQ49" s="613"/>
      <c r="AR49" s="613"/>
      <c r="AS49" s="613"/>
      <c r="AT49" s="613"/>
      <c r="AU49" s="613"/>
      <c r="AV49" s="613"/>
      <c r="AW49" s="613"/>
      <c r="AX49" s="613"/>
      <c r="AY49" s="614"/>
      <c r="AZ49" s="614"/>
      <c r="BA49" s="624" t="str">
        <f t="shared" si="10"/>
        <v/>
      </c>
      <c r="BB49" s="624"/>
      <c r="BC49" s="621" t="str">
        <f t="shared" si="13"/>
        <v/>
      </c>
      <c r="BD49" s="621"/>
      <c r="BE49" s="617"/>
      <c r="BF49" s="618"/>
    </row>
    <row r="50" spans="1:58" ht="12" customHeight="1" x14ac:dyDescent="0.2">
      <c r="A50" s="665" t="s">
        <v>124</v>
      </c>
      <c r="B50" s="665"/>
      <c r="C50" s="665"/>
      <c r="D50" s="665"/>
      <c r="E50" s="665"/>
      <c r="F50" s="665"/>
      <c r="G50" s="665"/>
      <c r="H50" s="665"/>
      <c r="I50" s="665"/>
      <c r="J50" s="665"/>
      <c r="K50" s="717"/>
      <c r="L50" s="717"/>
      <c r="M50" s="718" t="str">
        <f>+GsB</f>
        <v/>
      </c>
      <c r="N50" s="718"/>
      <c r="O50" s="674" t="str">
        <f>IF(AND(K50&gt;0,Rasse="Elf"),"Elf!",IF(K50&gt;0,K50+M50,""))</f>
        <v/>
      </c>
      <c r="P50" s="674"/>
      <c r="Q50" s="676"/>
      <c r="R50" s="676"/>
      <c r="S50" s="14"/>
      <c r="U50" s="623" t="s">
        <v>133</v>
      </c>
      <c r="V50" s="623"/>
      <c r="W50" s="623"/>
      <c r="X50" s="623"/>
      <c r="Y50" s="623"/>
      <c r="Z50" s="623"/>
      <c r="AA50" s="623"/>
      <c r="AB50" s="623"/>
      <c r="AC50" s="623"/>
      <c r="AD50" s="623"/>
      <c r="AE50" s="605"/>
      <c r="AF50" s="605"/>
      <c r="AG50" s="606" t="str">
        <f>+InB</f>
        <v/>
      </c>
      <c r="AH50" s="606"/>
      <c r="AI50" s="607" t="str">
        <f t="shared" ref="AI50:AI55" si="14">IF(AE50&gt;0,AE50+AG50,"")</f>
        <v/>
      </c>
      <c r="AJ50" s="607"/>
      <c r="AK50" s="616"/>
      <c r="AL50" s="616"/>
      <c r="AO50" s="603" t="s">
        <v>1353</v>
      </c>
      <c r="AP50" s="604"/>
      <c r="AQ50" s="604"/>
      <c r="AR50" s="604"/>
      <c r="AS50" s="604"/>
      <c r="AT50" s="604"/>
      <c r="AU50" s="604"/>
      <c r="AV50" s="604"/>
      <c r="AW50" s="604"/>
      <c r="AX50" s="604"/>
      <c r="AY50" s="605"/>
      <c r="AZ50" s="605"/>
      <c r="BA50" s="606" t="str">
        <f>+pAB</f>
        <v/>
      </c>
      <c r="BB50" s="606"/>
      <c r="BC50" s="607" t="str">
        <f t="shared" si="13"/>
        <v/>
      </c>
      <c r="BD50" s="607"/>
      <c r="BE50" s="615"/>
      <c r="BF50" s="616"/>
    </row>
    <row r="51" spans="1:58" ht="12" customHeight="1" thickBot="1" x14ac:dyDescent="0.25">
      <c r="A51" s="719" t="s">
        <v>914</v>
      </c>
      <c r="B51" s="720"/>
      <c r="C51" s="720"/>
      <c r="D51" s="720"/>
      <c r="E51" s="720"/>
      <c r="F51" s="720"/>
      <c r="G51" s="720"/>
      <c r="H51" s="720"/>
      <c r="I51" s="668" t="str">
        <f>IF(OR(Rasse="Zwerg",Rasse="Berggnom"),"+ 3","+ 0")</f>
        <v>+ 0</v>
      </c>
      <c r="J51" s="669"/>
      <c r="K51" s="667"/>
      <c r="L51" s="667"/>
      <c r="M51" s="640" t="str">
        <f>+InB</f>
        <v/>
      </c>
      <c r="N51" s="640"/>
      <c r="O51" s="675" t="str">
        <f>IF(K51&gt;0,K51+M51,"")</f>
        <v/>
      </c>
      <c r="P51" s="675"/>
      <c r="Q51" s="677"/>
      <c r="R51" s="677"/>
      <c r="S51" s="14"/>
      <c r="U51" s="625" t="s">
        <v>136</v>
      </c>
      <c r="V51" s="625"/>
      <c r="W51" s="625"/>
      <c r="X51" s="625"/>
      <c r="Y51" s="627" t="str">
        <f>IF(Ko="","",IF(Notizen!$J$84="Trinken + 12",12,ROUNDDOWN(Ko/10,0)))</f>
        <v/>
      </c>
      <c r="Z51" s="627"/>
      <c r="AA51" s="627"/>
      <c r="AB51" s="627"/>
      <c r="AC51" s="627"/>
      <c r="AD51" s="628"/>
      <c r="AE51" s="624"/>
      <c r="AF51" s="624"/>
      <c r="AG51" s="624" t="s">
        <v>75</v>
      </c>
      <c r="AH51" s="624"/>
      <c r="AI51" s="621" t="s">
        <v>75</v>
      </c>
      <c r="AJ51" s="621"/>
      <c r="AK51" s="679" t="s">
        <v>75</v>
      </c>
      <c r="AL51" s="679"/>
      <c r="AO51" s="629"/>
      <c r="AP51" s="630"/>
      <c r="AQ51" s="630"/>
      <c r="AR51" s="630"/>
      <c r="AS51" s="630"/>
      <c r="AT51" s="630"/>
      <c r="AU51" s="630"/>
      <c r="AV51" s="630"/>
      <c r="AW51" s="630"/>
      <c r="AX51" s="630"/>
      <c r="AY51" s="631"/>
      <c r="AZ51" s="631"/>
      <c r="BA51" s="632" t="str">
        <f t="shared" si="10"/>
        <v/>
      </c>
      <c r="BB51" s="632"/>
      <c r="BC51" s="622" t="str">
        <f t="shared" si="13"/>
        <v/>
      </c>
      <c r="BD51" s="622"/>
      <c r="BE51" s="619"/>
      <c r="BF51" s="620"/>
    </row>
    <row r="52" spans="1:58" ht="12" customHeight="1" thickBot="1" x14ac:dyDescent="0.25">
      <c r="A52" s="719" t="s">
        <v>915</v>
      </c>
      <c r="B52" s="720"/>
      <c r="C52" s="720"/>
      <c r="D52" s="720"/>
      <c r="E52" s="720"/>
      <c r="F52" s="720"/>
      <c r="G52" s="720"/>
      <c r="H52" s="720"/>
      <c r="I52" s="668" t="str">
        <f>IF(Rasse="Berggnom","+ 3","+ 0")</f>
        <v>+ 0</v>
      </c>
      <c r="J52" s="669"/>
      <c r="K52" s="667"/>
      <c r="L52" s="667"/>
      <c r="M52" s="640" t="str">
        <f>+GsB</f>
        <v/>
      </c>
      <c r="N52" s="640"/>
      <c r="O52" s="675" t="str">
        <f>IF(K52&gt;0,K52+M52,"")</f>
        <v/>
      </c>
      <c r="P52" s="675"/>
      <c r="Q52" s="677"/>
      <c r="R52" s="677"/>
      <c r="S52" s="14"/>
      <c r="U52" s="730" t="str">
        <f>CONCATENATE("Überleben, ",IF(OR(Rasse="Berggnom",Rasse="Halbling",Rasse="Zwerg"),"Gebirge",IF(OR(Rasse="Elf",Rasse="Waldgnom"),"Wald",Gelände))," + 6")</f>
        <v>Überleben,  + 6</v>
      </c>
      <c r="V52" s="730"/>
      <c r="W52" s="730"/>
      <c r="X52" s="730"/>
      <c r="Y52" s="730"/>
      <c r="Z52" s="730"/>
      <c r="AA52" s="730"/>
      <c r="AB52" s="730"/>
      <c r="AC52" s="730"/>
      <c r="AD52" s="730"/>
      <c r="AE52" s="605"/>
      <c r="AF52" s="605"/>
      <c r="AG52" s="606" t="str">
        <f>+InB</f>
        <v/>
      </c>
      <c r="AH52" s="606"/>
      <c r="AI52" s="607" t="str">
        <f t="shared" si="14"/>
        <v/>
      </c>
      <c r="AJ52" s="607"/>
      <c r="AK52" s="616"/>
      <c r="AL52" s="616"/>
      <c r="AO52" s="47"/>
      <c r="AP52" s="47"/>
      <c r="AQ52" s="47"/>
      <c r="AR52" s="47"/>
      <c r="AS52" s="47"/>
      <c r="AT52" s="47"/>
      <c r="AU52" s="47"/>
      <c r="AV52" s="47"/>
      <c r="AW52" s="47"/>
      <c r="AX52" s="47"/>
      <c r="AY52" s="45"/>
      <c r="AZ52" s="45"/>
      <c r="BA52" s="45"/>
      <c r="BB52" s="45"/>
      <c r="BC52" s="46" t="str">
        <f t="shared" ref="BC52" si="15">IF(AY52&gt;0,AY52+BA52,"")</f>
        <v/>
      </c>
      <c r="BD52" s="46"/>
      <c r="BE52" s="48"/>
      <c r="BF52" s="48"/>
    </row>
    <row r="53" spans="1:58" ht="12" customHeight="1" thickBot="1" x14ac:dyDescent="0.25">
      <c r="A53" s="665" t="s">
        <v>125</v>
      </c>
      <c r="B53" s="665"/>
      <c r="C53" s="665"/>
      <c r="D53" s="665"/>
      <c r="E53" s="665"/>
      <c r="F53" s="665"/>
      <c r="G53" s="665"/>
      <c r="H53" s="665"/>
      <c r="I53" s="665"/>
      <c r="J53" s="665"/>
      <c r="K53" s="717"/>
      <c r="L53" s="717"/>
      <c r="M53" s="718" t="str">
        <f>+GsB</f>
        <v/>
      </c>
      <c r="N53" s="718"/>
      <c r="O53" s="690" t="str">
        <f>IF(AND(K53&gt;0,Last="Normallast"),K53+M53,IF(AND(ISBLANK(K53),OR(Last="schwere Last",Last="Höchstlast")),RIGHT(A53,1)-4,IF(OR(Last="schwere Last",Last="Höchstlast"),K53+M53-4,"")))</f>
        <v/>
      </c>
      <c r="P53" s="690"/>
      <c r="Q53" s="676"/>
      <c r="R53" s="676"/>
      <c r="S53" s="14"/>
      <c r="U53" s="626" t="s">
        <v>1158</v>
      </c>
      <c r="V53" s="626"/>
      <c r="W53" s="626"/>
      <c r="X53" s="626"/>
      <c r="Y53" s="626"/>
      <c r="Z53" s="626"/>
      <c r="AA53" s="626"/>
      <c r="AB53" s="626"/>
      <c r="AC53" s="626"/>
      <c r="AD53" s="626"/>
      <c r="AE53" s="614"/>
      <c r="AF53" s="614"/>
      <c r="AG53" s="624" t="str">
        <f>+InB</f>
        <v/>
      </c>
      <c r="AH53" s="624"/>
      <c r="AI53" s="621" t="str">
        <f t="shared" si="14"/>
        <v/>
      </c>
      <c r="AJ53" s="621"/>
      <c r="AK53" s="618"/>
      <c r="AL53" s="618"/>
      <c r="AO53" s="600" t="s">
        <v>1230</v>
      </c>
      <c r="AP53" s="601"/>
      <c r="AQ53" s="601"/>
      <c r="AR53" s="601"/>
      <c r="AS53" s="601"/>
      <c r="AT53" s="601"/>
      <c r="AU53" s="601"/>
      <c r="AV53" s="601"/>
      <c r="AW53" s="601"/>
      <c r="AX53" s="601"/>
      <c r="AY53" s="601"/>
      <c r="AZ53" s="601"/>
      <c r="BA53" s="601"/>
      <c r="BB53" s="602"/>
      <c r="BC53" s="610" t="s">
        <v>69</v>
      </c>
      <c r="BD53" s="610"/>
      <c r="BE53" s="610" t="s">
        <v>70</v>
      </c>
      <c r="BF53" s="611"/>
    </row>
    <row r="54" spans="1:58" ht="12" customHeight="1" x14ac:dyDescent="0.2">
      <c r="A54" s="666" t="s">
        <v>127</v>
      </c>
      <c r="B54" s="666"/>
      <c r="C54" s="666"/>
      <c r="D54" s="666"/>
      <c r="E54" s="666"/>
      <c r="F54" s="666"/>
      <c r="G54" s="666"/>
      <c r="H54" s="666"/>
      <c r="I54" s="666"/>
      <c r="J54" s="666"/>
      <c r="K54" s="667"/>
      <c r="L54" s="667"/>
      <c r="M54" s="640" t="str">
        <f>+InB</f>
        <v/>
      </c>
      <c r="N54" s="640"/>
      <c r="O54" s="675" t="str">
        <f>IF(AND(K54&gt;0,Rasse="Elf"),"Elf!",IF(K54&gt;0,K54+M54,""))</f>
        <v/>
      </c>
      <c r="P54" s="675"/>
      <c r="Q54" s="677"/>
      <c r="R54" s="677"/>
      <c r="S54" s="14"/>
      <c r="U54" s="623" t="s">
        <v>1158</v>
      </c>
      <c r="V54" s="623"/>
      <c r="W54" s="623"/>
      <c r="X54" s="623"/>
      <c r="Y54" s="623"/>
      <c r="Z54" s="623"/>
      <c r="AA54" s="623"/>
      <c r="AB54" s="623"/>
      <c r="AC54" s="623"/>
      <c r="AD54" s="623"/>
      <c r="AE54" s="605"/>
      <c r="AF54" s="605"/>
      <c r="AG54" s="606" t="str">
        <f>+InB</f>
        <v/>
      </c>
      <c r="AH54" s="606"/>
      <c r="AI54" s="607" t="str">
        <f t="shared" si="14"/>
        <v/>
      </c>
      <c r="AJ54" s="607"/>
      <c r="AK54" s="616"/>
      <c r="AL54" s="616"/>
      <c r="AO54" s="598"/>
      <c r="AP54" s="599"/>
      <c r="AQ54" s="599"/>
      <c r="AR54" s="599"/>
      <c r="AS54" s="599"/>
      <c r="AT54" s="599"/>
      <c r="AU54" s="599"/>
      <c r="AV54" s="599"/>
      <c r="AW54" s="599"/>
      <c r="AX54" s="599"/>
      <c r="AY54" s="599"/>
      <c r="AZ54" s="599"/>
      <c r="BA54" s="599"/>
      <c r="BB54" s="599"/>
      <c r="BC54" s="597"/>
      <c r="BD54" s="597"/>
      <c r="BE54" s="608"/>
      <c r="BF54" s="609"/>
    </row>
    <row r="55" spans="1:58" ht="12" customHeight="1" x14ac:dyDescent="0.2">
      <c r="A55" s="665" t="s">
        <v>128</v>
      </c>
      <c r="B55" s="665"/>
      <c r="C55" s="665"/>
      <c r="D55" s="665"/>
      <c r="E55" s="665"/>
      <c r="F55" s="665"/>
      <c r="G55" s="665"/>
      <c r="H55" s="665"/>
      <c r="I55" s="665"/>
      <c r="J55" s="665"/>
      <c r="K55" s="717"/>
      <c r="L55" s="717"/>
      <c r="M55" s="718" t="str">
        <f>+GsB</f>
        <v/>
      </c>
      <c r="N55" s="718"/>
      <c r="O55" s="674" t="str">
        <f>IF(K55&gt;0,K55+M55,"")</f>
        <v/>
      </c>
      <c r="P55" s="674"/>
      <c r="Q55" s="676"/>
      <c r="R55" s="676"/>
      <c r="S55" s="14"/>
      <c r="U55" s="626" t="s">
        <v>147</v>
      </c>
      <c r="V55" s="626"/>
      <c r="W55" s="626"/>
      <c r="X55" s="626"/>
      <c r="Y55" s="626"/>
      <c r="Z55" s="626"/>
      <c r="AA55" s="626"/>
      <c r="AB55" s="626"/>
      <c r="AC55" s="626"/>
      <c r="AD55" s="626"/>
      <c r="AE55" s="614"/>
      <c r="AF55" s="614"/>
      <c r="AG55" s="624" t="str">
        <f>+pAB</f>
        <v/>
      </c>
      <c r="AH55" s="624"/>
      <c r="AI55" s="621" t="str">
        <f t="shared" si="14"/>
        <v/>
      </c>
      <c r="AJ55" s="621"/>
      <c r="AK55" s="618"/>
      <c r="AL55" s="618"/>
      <c r="AO55" s="592"/>
      <c r="AP55" s="593"/>
      <c r="AQ55" s="593"/>
      <c r="AR55" s="593"/>
      <c r="AS55" s="593"/>
      <c r="AT55" s="593"/>
      <c r="AU55" s="593"/>
      <c r="AV55" s="593"/>
      <c r="AW55" s="593"/>
      <c r="AX55" s="593"/>
      <c r="AY55" s="593"/>
      <c r="AZ55" s="593"/>
      <c r="BA55" s="593"/>
      <c r="BB55" s="593"/>
      <c r="BC55" s="584"/>
      <c r="BD55" s="584"/>
      <c r="BE55" s="585"/>
      <c r="BF55" s="586"/>
    </row>
    <row r="56" spans="1:58" ht="12" customHeight="1" x14ac:dyDescent="0.2">
      <c r="A56" s="666" t="s">
        <v>284</v>
      </c>
      <c r="B56" s="666"/>
      <c r="C56" s="666"/>
      <c r="D56" s="666"/>
      <c r="E56" s="666"/>
      <c r="F56" s="666"/>
      <c r="G56" s="666"/>
      <c r="H56" s="666"/>
      <c r="I56" s="666"/>
      <c r="J56" s="666"/>
      <c r="K56" s="667"/>
      <c r="L56" s="667"/>
      <c r="M56" s="640" t="str">
        <f>+GwB</f>
        <v/>
      </c>
      <c r="N56" s="640"/>
      <c r="O56" s="678" t="str">
        <f>IF(AND(K56&gt;0,Last="Normallast"),K56+M56,IF(AND(ISBLANK(K56),OR(Last="schwere Last",Last="Höchstlast")),RIGHT(A56,1)-4,IF(OR(Last="schwere Last",Last="Höchstlast"),K56+M56-4,"")))</f>
        <v/>
      </c>
      <c r="P56" s="678"/>
      <c r="Q56" s="677"/>
      <c r="R56" s="677"/>
      <c r="S56" s="14"/>
      <c r="U56" s="623" t="s">
        <v>101</v>
      </c>
      <c r="V56" s="623"/>
      <c r="W56" s="623"/>
      <c r="X56" s="623"/>
      <c r="Y56" s="623"/>
      <c r="Z56" s="623"/>
      <c r="AA56" s="623"/>
      <c r="AB56" s="623"/>
      <c r="AC56" s="623"/>
      <c r="AD56" s="623"/>
      <c r="AE56" s="605"/>
      <c r="AF56" s="605"/>
      <c r="AG56" s="606" t="str">
        <f>+pAB</f>
        <v/>
      </c>
      <c r="AH56" s="606"/>
      <c r="AI56" s="607" t="str">
        <f>IF(AE56&gt;0,AE56+AG56,"")</f>
        <v/>
      </c>
      <c r="AJ56" s="607"/>
      <c r="AK56" s="616"/>
      <c r="AL56" s="616"/>
      <c r="AO56" s="590"/>
      <c r="AP56" s="591"/>
      <c r="AQ56" s="591"/>
      <c r="AR56" s="591"/>
      <c r="AS56" s="591"/>
      <c r="AT56" s="591"/>
      <c r="AU56" s="591"/>
      <c r="AV56" s="591"/>
      <c r="AW56" s="591"/>
      <c r="AX56" s="591"/>
      <c r="AY56" s="591"/>
      <c r="AZ56" s="591"/>
      <c r="BA56" s="591"/>
      <c r="BB56" s="591"/>
      <c r="BC56" s="596"/>
      <c r="BD56" s="596"/>
      <c r="BE56" s="582"/>
      <c r="BF56" s="583"/>
    </row>
    <row r="57" spans="1:58" ht="12" customHeight="1" x14ac:dyDescent="0.2">
      <c r="A57" s="665" t="s">
        <v>130</v>
      </c>
      <c r="B57" s="665"/>
      <c r="C57" s="665"/>
      <c r="D57" s="665"/>
      <c r="E57" s="665"/>
      <c r="F57" s="665"/>
      <c r="G57" s="665"/>
      <c r="H57" s="665"/>
      <c r="I57" s="665"/>
      <c r="J57" s="665"/>
      <c r="K57" s="717"/>
      <c r="L57" s="717"/>
      <c r="M57" s="718" t="str">
        <f>+InB</f>
        <v/>
      </c>
      <c r="N57" s="718"/>
      <c r="O57" s="674" t="str">
        <f>IF(K57&gt;0,K57+M57,"")</f>
        <v/>
      </c>
      <c r="P57" s="674"/>
      <c r="Q57" s="676"/>
      <c r="R57" s="676"/>
      <c r="S57" s="14"/>
      <c r="U57" s="626" t="s">
        <v>103</v>
      </c>
      <c r="V57" s="626"/>
      <c r="W57" s="626"/>
      <c r="X57" s="626"/>
      <c r="Y57" s="626"/>
      <c r="Z57" s="626"/>
      <c r="AA57" s="626"/>
      <c r="AB57" s="626"/>
      <c r="AC57" s="626"/>
      <c r="AD57" s="626"/>
      <c r="AE57" s="614"/>
      <c r="AF57" s="614"/>
      <c r="AG57" s="624" t="str">
        <f>+pAB</f>
        <v/>
      </c>
      <c r="AH57" s="624"/>
      <c r="AI57" s="621" t="str">
        <f>IF(AE57&gt;0,AE57+AG57,"")</f>
        <v/>
      </c>
      <c r="AJ57" s="621"/>
      <c r="AK57" s="618"/>
      <c r="AL57" s="618"/>
      <c r="AO57" s="592"/>
      <c r="AP57" s="593"/>
      <c r="AQ57" s="593"/>
      <c r="AR57" s="593"/>
      <c r="AS57" s="593"/>
      <c r="AT57" s="593"/>
      <c r="AU57" s="593"/>
      <c r="AV57" s="593"/>
      <c r="AW57" s="593"/>
      <c r="AX57" s="593"/>
      <c r="AY57" s="593"/>
      <c r="AZ57" s="593"/>
      <c r="BA57" s="593"/>
      <c r="BB57" s="593"/>
      <c r="BC57" s="584"/>
      <c r="BD57" s="584"/>
      <c r="BE57" s="585"/>
      <c r="BF57" s="586"/>
    </row>
    <row r="58" spans="1:58" ht="12" customHeight="1" x14ac:dyDescent="0.2">
      <c r="A58" s="666" t="s">
        <v>132</v>
      </c>
      <c r="B58" s="666"/>
      <c r="C58" s="666"/>
      <c r="D58" s="666"/>
      <c r="E58" s="666"/>
      <c r="F58" s="666"/>
      <c r="G58" s="666"/>
      <c r="H58" s="666"/>
      <c r="I58" s="666"/>
      <c r="J58" s="666"/>
      <c r="K58" s="667"/>
      <c r="L58" s="667"/>
      <c r="M58" s="640" t="str">
        <f>+InB</f>
        <v/>
      </c>
      <c r="N58" s="640"/>
      <c r="O58" s="675" t="str">
        <f>IF(K58&gt;0,K58+M58,"")</f>
        <v/>
      </c>
      <c r="P58" s="675"/>
      <c r="Q58" s="677"/>
      <c r="R58" s="677"/>
      <c r="S58" s="14"/>
      <c r="U58" s="623" t="s">
        <v>106</v>
      </c>
      <c r="V58" s="623"/>
      <c r="W58" s="623"/>
      <c r="X58" s="623"/>
      <c r="Y58" s="623"/>
      <c r="Z58" s="623"/>
      <c r="AA58" s="623"/>
      <c r="AB58" s="623"/>
      <c r="AC58" s="623"/>
      <c r="AD58" s="623"/>
      <c r="AE58" s="605"/>
      <c r="AF58" s="605"/>
      <c r="AG58" s="606" t="str">
        <f>+GsB</f>
        <v/>
      </c>
      <c r="AH58" s="606"/>
      <c r="AI58" s="607" t="str">
        <f>IF(AND(AE58&gt;0,Last="Normallast"),AE58+AG58,IF(AND(ISBLANK(AE58),OR(Last="schwere Last",Last="Höchstlast")),RIGHT(U58,1)-4,IF(OR(Last="schwere Last",Last="Höchstlast"),AE58+AG58-4,"")))</f>
        <v/>
      </c>
      <c r="AJ58" s="607"/>
      <c r="AK58" s="616"/>
      <c r="AL58" s="616"/>
      <c r="AO58" s="590"/>
      <c r="AP58" s="591"/>
      <c r="AQ58" s="591"/>
      <c r="AR58" s="591"/>
      <c r="AS58" s="591"/>
      <c r="AT58" s="591"/>
      <c r="AU58" s="591"/>
      <c r="AV58" s="591"/>
      <c r="AW58" s="591"/>
      <c r="AX58" s="591"/>
      <c r="AY58" s="591"/>
      <c r="AZ58" s="591"/>
      <c r="BA58" s="591"/>
      <c r="BB58" s="591"/>
      <c r="BC58" s="596"/>
      <c r="BD58" s="596"/>
      <c r="BE58" s="582"/>
      <c r="BF58" s="583"/>
    </row>
    <row r="59" spans="1:58" ht="12" customHeight="1" x14ac:dyDescent="0.2">
      <c r="A59" s="665" t="s">
        <v>135</v>
      </c>
      <c r="B59" s="665"/>
      <c r="C59" s="665"/>
      <c r="D59" s="665"/>
      <c r="E59" s="665"/>
      <c r="F59" s="665"/>
      <c r="G59" s="665"/>
      <c r="H59" s="665"/>
      <c r="I59" s="665"/>
      <c r="J59" s="665"/>
      <c r="K59" s="717"/>
      <c r="L59" s="717"/>
      <c r="M59" s="718" t="str">
        <f>+GsB</f>
        <v/>
      </c>
      <c r="N59" s="718"/>
      <c r="O59" s="674" t="str">
        <f>IF(AND(K59&gt;0,Rasse="Elf"),"Elf!",IF(K59&gt;0,K59+M59,""))</f>
        <v/>
      </c>
      <c r="P59" s="674"/>
      <c r="Q59" s="676"/>
      <c r="R59" s="676"/>
      <c r="S59" s="14"/>
      <c r="U59" s="633" t="s">
        <v>976</v>
      </c>
      <c r="V59" s="634"/>
      <c r="W59" s="634"/>
      <c r="X59" s="634"/>
      <c r="Y59" s="634"/>
      <c r="Z59" s="634"/>
      <c r="AA59" s="634"/>
      <c r="AB59" s="731">
        <f>IF(Notizen!$J$84="Wahrnehmung + 8",8,6)</f>
        <v>6</v>
      </c>
      <c r="AC59" s="731"/>
      <c r="AD59" s="732"/>
      <c r="AE59" s="624" t="s">
        <v>75</v>
      </c>
      <c r="AF59" s="624"/>
      <c r="AG59" s="624" t="s">
        <v>75</v>
      </c>
      <c r="AH59" s="624"/>
      <c r="AI59" s="621" t="s">
        <v>75</v>
      </c>
      <c r="AJ59" s="621"/>
      <c r="AK59" s="679" t="s">
        <v>75</v>
      </c>
      <c r="AL59" s="679"/>
      <c r="AO59" s="592"/>
      <c r="AP59" s="593"/>
      <c r="AQ59" s="593"/>
      <c r="AR59" s="593"/>
      <c r="AS59" s="593"/>
      <c r="AT59" s="593"/>
      <c r="AU59" s="593"/>
      <c r="AV59" s="593"/>
      <c r="AW59" s="593"/>
      <c r="AX59" s="593"/>
      <c r="AY59" s="593"/>
      <c r="AZ59" s="593"/>
      <c r="BA59" s="593"/>
      <c r="BB59" s="593"/>
      <c r="BC59" s="584"/>
      <c r="BD59" s="584"/>
      <c r="BE59" s="585"/>
      <c r="BF59" s="586"/>
    </row>
    <row r="60" spans="1:58" ht="12" customHeight="1" thickBot="1" x14ac:dyDescent="0.25">
      <c r="A60" s="666" t="s">
        <v>139</v>
      </c>
      <c r="B60" s="666"/>
      <c r="C60" s="666"/>
      <c r="D60" s="666"/>
      <c r="E60" s="666"/>
      <c r="F60" s="666"/>
      <c r="G60" s="666"/>
      <c r="H60" s="666"/>
      <c r="I60" s="666"/>
      <c r="J60" s="666"/>
      <c r="K60" s="667"/>
      <c r="L60" s="667"/>
      <c r="M60" s="640" t="str">
        <f>+InB</f>
        <v/>
      </c>
      <c r="N60" s="640"/>
      <c r="O60" s="675" t="str">
        <f>IF(K60&gt;0,K60+M60,"")</f>
        <v/>
      </c>
      <c r="P60" s="675"/>
      <c r="Q60" s="677"/>
      <c r="R60" s="677"/>
      <c r="S60" s="14"/>
      <c r="U60" s="623" t="s">
        <v>110</v>
      </c>
      <c r="V60" s="623"/>
      <c r="W60" s="623"/>
      <c r="X60" s="623"/>
      <c r="Y60" s="623"/>
      <c r="Z60" s="623"/>
      <c r="AA60" s="623"/>
      <c r="AB60" s="623"/>
      <c r="AC60" s="623"/>
      <c r="AD60" s="623"/>
      <c r="AE60" s="605"/>
      <c r="AF60" s="605"/>
      <c r="AG60" s="606" t="str">
        <f>+InB</f>
        <v/>
      </c>
      <c r="AH60" s="606"/>
      <c r="AI60" s="607" t="str">
        <f>IF(AE60&gt;0,AE60+AG60,"")</f>
        <v/>
      </c>
      <c r="AJ60" s="607"/>
      <c r="AK60" s="616"/>
      <c r="AL60" s="616"/>
      <c r="AO60" s="594"/>
      <c r="AP60" s="595"/>
      <c r="AQ60" s="595"/>
      <c r="AR60" s="595"/>
      <c r="AS60" s="595"/>
      <c r="AT60" s="595"/>
      <c r="AU60" s="595"/>
      <c r="AV60" s="595"/>
      <c r="AW60" s="595"/>
      <c r="AX60" s="595"/>
      <c r="AY60" s="595"/>
      <c r="AZ60" s="595"/>
      <c r="BA60" s="595"/>
      <c r="BB60" s="595"/>
      <c r="BC60" s="587"/>
      <c r="BD60" s="587"/>
      <c r="BE60" s="588"/>
      <c r="BF60" s="589"/>
    </row>
    <row r="61" spans="1:58" ht="12" customHeight="1" thickBot="1" x14ac:dyDescent="0.25">
      <c r="A61" s="665" t="s">
        <v>142</v>
      </c>
      <c r="B61" s="665"/>
      <c r="C61" s="665"/>
      <c r="D61" s="665"/>
      <c r="E61" s="665"/>
      <c r="F61" s="665"/>
      <c r="G61" s="665"/>
      <c r="H61" s="665"/>
      <c r="I61" s="665"/>
      <c r="J61" s="665"/>
      <c r="K61" s="717"/>
      <c r="L61" s="717"/>
      <c r="M61" s="718" t="str">
        <f>+StB</f>
        <v/>
      </c>
      <c r="N61" s="718"/>
      <c r="O61" s="690" t="str">
        <f>IF(AND(K61&gt;0,Last="Normallast"),K61+M61,IF(AND(ISBLANK(K61),OR(Last="schwere Last",Last="Höchstlast")),RIGHT(A61,1)-4,IF(OR(Last="schwere Last",Last="Höchstlast"),K61+M61-4,"")))</f>
        <v/>
      </c>
      <c r="P61" s="690"/>
      <c r="Q61" s="676"/>
      <c r="R61" s="676"/>
      <c r="S61" s="14"/>
      <c r="U61" s="705"/>
      <c r="V61" s="705"/>
      <c r="W61" s="705"/>
      <c r="X61" s="705"/>
      <c r="Y61" s="705"/>
      <c r="Z61" s="705"/>
      <c r="AA61" s="705"/>
      <c r="AB61" s="705"/>
      <c r="AC61" s="705"/>
      <c r="AD61" s="705"/>
      <c r="AE61" s="614"/>
      <c r="AF61" s="614"/>
      <c r="AG61" s="614"/>
      <c r="AH61" s="614"/>
      <c r="AI61" s="708"/>
      <c r="AJ61" s="708"/>
      <c r="AK61" s="618"/>
      <c r="AL61" s="618"/>
    </row>
    <row r="62" spans="1:58" ht="12" customHeight="1" thickBot="1" x14ac:dyDescent="0.25">
      <c r="A62" s="666" t="s">
        <v>285</v>
      </c>
      <c r="B62" s="666"/>
      <c r="C62" s="666"/>
      <c r="D62" s="666"/>
      <c r="E62" s="666"/>
      <c r="F62" s="666"/>
      <c r="G62" s="666"/>
      <c r="H62" s="666"/>
      <c r="I62" s="666"/>
      <c r="J62" s="666"/>
      <c r="K62" s="667"/>
      <c r="L62" s="667"/>
      <c r="M62" s="640" t="str">
        <f>+StB</f>
        <v/>
      </c>
      <c r="N62" s="640"/>
      <c r="O62" s="678" t="str">
        <f>IF(AND(K62&gt;0,Last="Normallast"),K62+M62,IF(AND(ISBLANK(K62),OR(Last="schwere Last",Last="Höchstlast")),RIGHT(A62,1)-4,IF(OR(Last="schwere Last",Last="Höchstlast"),K62+M62-4,"")))</f>
        <v/>
      </c>
      <c r="P62" s="678"/>
      <c r="Q62" s="677"/>
      <c r="R62" s="677"/>
      <c r="S62" s="14"/>
      <c r="U62" s="695"/>
      <c r="V62" s="695"/>
      <c r="W62" s="695"/>
      <c r="X62" s="695"/>
      <c r="Y62" s="695"/>
      <c r="Z62" s="695"/>
      <c r="AA62" s="695"/>
      <c r="AB62" s="695"/>
      <c r="AC62" s="695"/>
      <c r="AD62" s="695"/>
      <c r="AE62" s="605"/>
      <c r="AF62" s="605"/>
      <c r="AG62" s="605"/>
      <c r="AH62" s="605"/>
      <c r="AI62" s="607" t="str">
        <f>IF(AE62&gt;0,AE62+AG62,"")</f>
        <v/>
      </c>
      <c r="AJ62" s="607"/>
      <c r="AK62" s="616"/>
      <c r="AL62" s="616"/>
      <c r="AO62" s="698" t="s">
        <v>134</v>
      </c>
      <c r="AP62" s="699"/>
      <c r="AQ62" s="699"/>
      <c r="AR62" s="699"/>
      <c r="AS62" s="699"/>
      <c r="AT62" s="700"/>
      <c r="AU62" s="567" t="s">
        <v>70</v>
      </c>
      <c r="AV62" s="567"/>
      <c r="AY62" s="698" t="s">
        <v>134</v>
      </c>
      <c r="AZ62" s="699"/>
      <c r="BA62" s="699"/>
      <c r="BB62" s="699"/>
      <c r="BC62" s="699"/>
      <c r="BD62" s="700"/>
      <c r="BE62" s="567" t="s">
        <v>70</v>
      </c>
      <c r="BF62" s="567"/>
    </row>
    <row r="63" spans="1:58" ht="12" customHeight="1" thickBot="1" x14ac:dyDescent="0.25">
      <c r="A63" s="721" t="str">
        <f>CONCATENATE("Landeskunde ",Heimat," + 6")</f>
        <v>Landeskunde  + 6</v>
      </c>
      <c r="B63" s="721"/>
      <c r="C63" s="721"/>
      <c r="D63" s="721"/>
      <c r="E63" s="721"/>
      <c r="F63" s="721"/>
      <c r="G63" s="721"/>
      <c r="H63" s="721"/>
      <c r="I63" s="721"/>
      <c r="J63" s="721"/>
      <c r="K63" s="717"/>
      <c r="L63" s="717"/>
      <c r="M63" s="718" t="str">
        <f>+InB</f>
        <v/>
      </c>
      <c r="N63" s="718"/>
      <c r="O63" s="674" t="str">
        <f>IF(K63&gt;0,K63+M63,"")</f>
        <v/>
      </c>
      <c r="P63" s="674"/>
      <c r="Q63" s="676"/>
      <c r="R63" s="676"/>
      <c r="U63" s="692" t="s">
        <v>282</v>
      </c>
      <c r="V63" s="693"/>
      <c r="W63" s="693"/>
      <c r="X63" s="693"/>
      <c r="Y63" s="693"/>
      <c r="Z63" s="693"/>
      <c r="AA63" s="693"/>
      <c r="AB63" s="693"/>
      <c r="AC63" s="693"/>
      <c r="AD63" s="693"/>
      <c r="AE63" s="693"/>
      <c r="AF63" s="693"/>
      <c r="AG63" s="693"/>
      <c r="AH63" s="693"/>
      <c r="AI63" s="693"/>
      <c r="AJ63" s="693"/>
      <c r="AK63" s="693"/>
      <c r="AL63" s="694"/>
      <c r="AO63" s="580" t="s">
        <v>137</v>
      </c>
      <c r="AP63" s="581"/>
      <c r="AQ63" s="581"/>
      <c r="AR63" s="581"/>
      <c r="AS63" s="581"/>
      <c r="AT63" s="581"/>
      <c r="AU63" s="696"/>
      <c r="AV63" s="697"/>
      <c r="AY63" s="580" t="s">
        <v>146</v>
      </c>
      <c r="AZ63" s="581"/>
      <c r="BA63" s="581"/>
      <c r="BB63" s="581"/>
      <c r="BC63" s="581"/>
      <c r="BD63" s="581"/>
      <c r="BE63" s="696"/>
      <c r="BF63" s="697"/>
    </row>
    <row r="64" spans="1:58" ht="12" customHeight="1" thickBot="1" x14ac:dyDescent="0.25">
      <c r="A64" s="722" t="s">
        <v>100</v>
      </c>
      <c r="B64" s="722"/>
      <c r="C64" s="722"/>
      <c r="D64" s="722"/>
      <c r="E64" s="722"/>
      <c r="F64" s="722"/>
      <c r="G64" s="722"/>
      <c r="H64" s="722"/>
      <c r="I64" s="722"/>
      <c r="J64" s="722"/>
      <c r="K64" s="667"/>
      <c r="L64" s="667"/>
      <c r="M64" s="640" t="str">
        <f>+KoB</f>
        <v/>
      </c>
      <c r="N64" s="640"/>
      <c r="O64" s="675" t="str">
        <f>IF(AND(K64&gt;0,Last="Normallast"),K64+M64,IF(AND(ISBLANK(K64),OR(Last="schwere Last",Last="Höchstlast")),RIGHT(A64,1)-4,IF(OR(Last="schwere Last",Last="Höchstlast"),K64+M64-4,"")))</f>
        <v/>
      </c>
      <c r="P64" s="675"/>
      <c r="Q64" s="677"/>
      <c r="R64" s="677"/>
      <c r="AO64" s="572" t="s">
        <v>140</v>
      </c>
      <c r="AP64" s="573"/>
      <c r="AQ64" s="573"/>
      <c r="AR64" s="573"/>
      <c r="AS64" s="573"/>
      <c r="AT64" s="573"/>
      <c r="AU64" s="574"/>
      <c r="AV64" s="575"/>
      <c r="AY64" s="572" t="s">
        <v>1323</v>
      </c>
      <c r="AZ64" s="573"/>
      <c r="BA64" s="573"/>
      <c r="BB64" s="573"/>
      <c r="BC64" s="573"/>
      <c r="BD64" s="573"/>
      <c r="BE64" s="574"/>
      <c r="BF64" s="575"/>
    </row>
    <row r="65" spans="1:58" ht="12" customHeight="1" thickBot="1" x14ac:dyDescent="0.25">
      <c r="A65" s="576" t="s">
        <v>105</v>
      </c>
      <c r="B65" s="576"/>
      <c r="C65" s="576"/>
      <c r="D65" s="576"/>
      <c r="E65" s="576"/>
      <c r="F65" s="576"/>
      <c r="G65" s="576"/>
      <c r="H65" s="576"/>
      <c r="I65" s="576"/>
      <c r="J65" s="576"/>
      <c r="K65" s="717"/>
      <c r="L65" s="717"/>
      <c r="M65" s="718" t="str">
        <f>+WkB</f>
        <v/>
      </c>
      <c r="N65" s="718"/>
      <c r="O65" s="674" t="str">
        <f>IF(K65&gt;0,K65+M65,"")</f>
        <v/>
      </c>
      <c r="P65" s="674"/>
      <c r="Q65" s="676"/>
      <c r="R65" s="676"/>
      <c r="U65" s="703" t="s">
        <v>962</v>
      </c>
      <c r="V65" s="703"/>
      <c r="W65" s="703"/>
      <c r="X65" s="703"/>
      <c r="Y65" s="703"/>
      <c r="Z65" s="703"/>
      <c r="AA65" s="703"/>
      <c r="AB65" s="703"/>
      <c r="AC65" s="703"/>
      <c r="AD65" s="703"/>
      <c r="AE65" s="686" t="s">
        <v>69</v>
      </c>
      <c r="AF65" s="686"/>
      <c r="AG65" s="686" t="s">
        <v>99</v>
      </c>
      <c r="AH65" s="686"/>
      <c r="AI65" s="686" t="s">
        <v>69</v>
      </c>
      <c r="AJ65" s="686"/>
      <c r="AK65" s="689" t="s">
        <v>70</v>
      </c>
      <c r="AL65" s="689"/>
      <c r="AO65" s="576" t="s">
        <v>143</v>
      </c>
      <c r="AP65" s="577"/>
      <c r="AQ65" s="577"/>
      <c r="AR65" s="577"/>
      <c r="AS65" s="577"/>
      <c r="AT65" s="577"/>
      <c r="AU65" s="578"/>
      <c r="AV65" s="579"/>
      <c r="AY65" s="576" t="s">
        <v>1340</v>
      </c>
      <c r="AZ65" s="577"/>
      <c r="BA65" s="577"/>
      <c r="BB65" s="577"/>
      <c r="BC65" s="577"/>
      <c r="BD65" s="577"/>
      <c r="BE65" s="578"/>
      <c r="BF65" s="579"/>
    </row>
    <row r="66" spans="1:58" ht="12" customHeight="1" x14ac:dyDescent="0.2">
      <c r="A66" s="722" t="s">
        <v>108</v>
      </c>
      <c r="B66" s="722"/>
      <c r="C66" s="722"/>
      <c r="D66" s="722"/>
      <c r="E66" s="722"/>
      <c r="F66" s="722"/>
      <c r="G66" s="722"/>
      <c r="H66" s="722"/>
      <c r="I66" s="722"/>
      <c r="J66" s="722"/>
      <c r="K66" s="667"/>
      <c r="L66" s="667"/>
      <c r="M66" s="640" t="str">
        <f>+InB</f>
        <v/>
      </c>
      <c r="N66" s="640"/>
      <c r="O66" s="675" t="str">
        <f>IF(K66&gt;0,K66+M66,"")</f>
        <v/>
      </c>
      <c r="P66" s="675"/>
      <c r="Q66" s="677"/>
      <c r="R66" s="677"/>
      <c r="U66" s="687" t="str">
        <f>IF(Notizen!$J$84="Prozentwurf machen!","",IF(OR(Notizen!$J$84=U67,Notizen!$J$84=U68,Notizen!$J$84="Trinken + 12",Notizen!$J$84="Wahrnehmung + 8",AND(U69="Robustheit + 12",Notizen!$J$84="Robustheit + 9"),AND(Notizen!$J$84="Hören - 2",OR(Rasse="Berggnom",Rasse="Waldgnom")),AND(Rasse="Halbling",Notizen!$J$84="Riechen - 2")),"",Notizen!$J$84))</f>
        <v/>
      </c>
      <c r="V66" s="687"/>
      <c r="W66" s="687"/>
      <c r="X66" s="687"/>
      <c r="Y66" s="687"/>
      <c r="Z66" s="687"/>
      <c r="AA66" s="687"/>
      <c r="AB66" s="687"/>
      <c r="AC66" s="687"/>
      <c r="AD66" s="687"/>
      <c r="AE66" s="688" t="s">
        <v>75</v>
      </c>
      <c r="AF66" s="688"/>
      <c r="AG66" s="688" t="s">
        <v>75</v>
      </c>
      <c r="AH66" s="688"/>
      <c r="AI66" s="690" t="s">
        <v>75</v>
      </c>
      <c r="AJ66" s="690"/>
      <c r="AK66" s="691" t="s">
        <v>75</v>
      </c>
      <c r="AL66" s="691"/>
      <c r="AO66" s="572" t="s">
        <v>145</v>
      </c>
      <c r="AP66" s="573"/>
      <c r="AQ66" s="573"/>
      <c r="AR66" s="573"/>
      <c r="AS66" s="573"/>
      <c r="AT66" s="573"/>
      <c r="AU66" s="574"/>
      <c r="AV66" s="575"/>
      <c r="AY66" s="572" t="s">
        <v>144</v>
      </c>
      <c r="AZ66" s="573"/>
      <c r="BA66" s="573"/>
      <c r="BB66" s="573"/>
      <c r="BC66" s="573"/>
      <c r="BD66" s="573"/>
      <c r="BE66" s="574"/>
      <c r="BF66" s="575"/>
    </row>
    <row r="67" spans="1:58" ht="12" customHeight="1" x14ac:dyDescent="0.2">
      <c r="A67" s="576" t="s">
        <v>109</v>
      </c>
      <c r="B67" s="576"/>
      <c r="C67" s="576"/>
      <c r="D67" s="576"/>
      <c r="E67" s="576"/>
      <c r="F67" s="576"/>
      <c r="G67" s="576"/>
      <c r="H67" s="576"/>
      <c r="I67" s="576"/>
      <c r="J67" s="576"/>
      <c r="K67" s="717"/>
      <c r="L67" s="717"/>
      <c r="M67" s="718" t="str">
        <f>+GsB</f>
        <v/>
      </c>
      <c r="N67" s="718"/>
      <c r="O67" s="690" t="str">
        <f>IF(AND(K67&gt;0,Rasse="Elf"),"Elf!",IF(AND(K67&gt;0,Last="Normallast"),K67+M67,IF(AND(ISBLANK(K67),OR(Last="schwere Last",Last="Höchstlast")),RIGHT(A67,1)-4,IF(OR(Last="schwere Last",Last="Höchstlast"),K67+M67-4,""))))</f>
        <v/>
      </c>
      <c r="P67" s="690"/>
      <c r="Q67" s="676"/>
      <c r="R67" s="676"/>
      <c r="U67" s="716" t="str">
        <f>IF(ISBLANK(Rasse),"",IF(AND(Rasse="Halbling",Notizen!$J$84="Riechen - 2"),"Riechen + 0",IF(Rasse="Halbling","Riechen + 2",IF(Rasse&lt;&gt;"Mensch","Nachtsicht + 2",""))))</f>
        <v/>
      </c>
      <c r="V67" s="716"/>
      <c r="W67" s="716"/>
      <c r="X67" s="716"/>
      <c r="Y67" s="716"/>
      <c r="Z67" s="716"/>
      <c r="AA67" s="716"/>
      <c r="AB67" s="716"/>
      <c r="AC67" s="716"/>
      <c r="AD67" s="716"/>
      <c r="AE67" s="706" t="s">
        <v>75</v>
      </c>
      <c r="AF67" s="706"/>
      <c r="AG67" s="706" t="s">
        <v>75</v>
      </c>
      <c r="AH67" s="706"/>
      <c r="AI67" s="702" t="s">
        <v>75</v>
      </c>
      <c r="AJ67" s="702"/>
      <c r="AK67" s="701" t="s">
        <v>75</v>
      </c>
      <c r="AL67" s="701"/>
      <c r="AO67" s="576" t="s">
        <v>148</v>
      </c>
      <c r="AP67" s="577"/>
      <c r="AQ67" s="577"/>
      <c r="AR67" s="577"/>
      <c r="AS67" s="577"/>
      <c r="AT67" s="577"/>
      <c r="AU67" s="578"/>
      <c r="AV67" s="579"/>
      <c r="AY67" s="576" t="s">
        <v>149</v>
      </c>
      <c r="AZ67" s="577"/>
      <c r="BA67" s="577"/>
      <c r="BB67" s="577"/>
      <c r="BC67" s="577"/>
      <c r="BD67" s="577"/>
      <c r="BE67" s="578"/>
      <c r="BF67" s="579"/>
    </row>
    <row r="68" spans="1:58" ht="12" customHeight="1" x14ac:dyDescent="0.2">
      <c r="A68" s="722" t="s">
        <v>112</v>
      </c>
      <c r="B68" s="722"/>
      <c r="C68" s="722"/>
      <c r="D68" s="722"/>
      <c r="E68" s="722"/>
      <c r="F68" s="722"/>
      <c r="G68" s="722"/>
      <c r="H68" s="722"/>
      <c r="I68" s="722"/>
      <c r="J68" s="722"/>
      <c r="K68" s="667"/>
      <c r="L68" s="667"/>
      <c r="M68" s="640" t="str">
        <f>+GsB</f>
        <v/>
      </c>
      <c r="N68" s="640"/>
      <c r="O68" s="675" t="str">
        <f>IF(K68&gt;0,K68+M68,"")</f>
        <v/>
      </c>
      <c r="P68" s="675"/>
      <c r="Q68" s="677"/>
      <c r="R68" s="677"/>
      <c r="U68" s="728" t="str">
        <f>IF(AND(OR(Rasse="Berggnom",Rasse="Waldgnom"),Notizen!$J$84="Hören - 2"),"Hören + 0",IF(OR(Rasse="Berggnom",Rasse="Waldgnom"),"Hören + 2",IF(Rasse="Zwerg","Robustheit + 9",IF(Rasse="Halbling","Gute Reflexe + 9",""))))</f>
        <v/>
      </c>
      <c r="V68" s="728"/>
      <c r="W68" s="728"/>
      <c r="X68" s="728"/>
      <c r="Y68" s="728"/>
      <c r="Z68" s="728"/>
      <c r="AA68" s="728"/>
      <c r="AB68" s="728"/>
      <c r="AC68" s="728"/>
      <c r="AD68" s="728"/>
      <c r="AE68" s="729" t="s">
        <v>75</v>
      </c>
      <c r="AF68" s="729"/>
      <c r="AG68" s="729" t="s">
        <v>75</v>
      </c>
      <c r="AH68" s="729"/>
      <c r="AI68" s="682" t="s">
        <v>75</v>
      </c>
      <c r="AJ68" s="682"/>
      <c r="AK68" s="683" t="s">
        <v>75</v>
      </c>
      <c r="AL68" s="683"/>
      <c r="AO68" s="572" t="s">
        <v>138</v>
      </c>
      <c r="AP68" s="573"/>
      <c r="AQ68" s="573"/>
      <c r="AR68" s="573"/>
      <c r="AS68" s="573"/>
      <c r="AT68" s="573"/>
      <c r="AU68" s="574"/>
      <c r="AV68" s="575"/>
      <c r="AY68" s="572" t="s">
        <v>1325</v>
      </c>
      <c r="AZ68" s="573"/>
      <c r="BA68" s="573"/>
      <c r="BB68" s="573"/>
      <c r="BC68" s="573"/>
      <c r="BD68" s="573"/>
      <c r="BE68" s="574"/>
      <c r="BF68" s="575"/>
    </row>
    <row r="69" spans="1:58" ht="12" customHeight="1" x14ac:dyDescent="0.2">
      <c r="A69" s="576" t="s">
        <v>114</v>
      </c>
      <c r="B69" s="576"/>
      <c r="C69" s="576"/>
      <c r="D69" s="576"/>
      <c r="E69" s="576"/>
      <c r="F69" s="576"/>
      <c r="G69" s="576"/>
      <c r="H69" s="576"/>
      <c r="I69" s="576"/>
      <c r="J69" s="576"/>
      <c r="K69" s="717"/>
      <c r="L69" s="717"/>
      <c r="M69" s="718" t="str">
        <f>+InB</f>
        <v/>
      </c>
      <c r="N69" s="718"/>
      <c r="O69" s="674" t="str">
        <f>IF(K69&gt;0,K69+M69,"")</f>
        <v/>
      </c>
      <c r="P69" s="674"/>
      <c r="Q69" s="676"/>
      <c r="R69" s="676"/>
      <c r="U69" s="704" t="str">
        <f>IF(OR(Rasse="Berggnom",Rasse="Waldgnom"),"Robustheit + 12","")</f>
        <v/>
      </c>
      <c r="V69" s="704"/>
      <c r="W69" s="704"/>
      <c r="X69" s="704"/>
      <c r="Y69" s="704"/>
      <c r="Z69" s="704"/>
      <c r="AA69" s="704"/>
      <c r="AB69" s="704"/>
      <c r="AC69" s="704"/>
      <c r="AD69" s="704"/>
      <c r="AE69" s="685" t="s">
        <v>75</v>
      </c>
      <c r="AF69" s="685"/>
      <c r="AG69" s="685" t="s">
        <v>75</v>
      </c>
      <c r="AH69" s="685"/>
      <c r="AI69" s="684" t="s">
        <v>75</v>
      </c>
      <c r="AJ69" s="684"/>
      <c r="AK69" s="681" t="s">
        <v>75</v>
      </c>
      <c r="AL69" s="681"/>
      <c r="AO69" s="576" t="s">
        <v>141</v>
      </c>
      <c r="AP69" s="577"/>
      <c r="AQ69" s="577"/>
      <c r="AR69" s="577"/>
      <c r="AS69" s="577"/>
      <c r="AT69" s="577"/>
      <c r="AU69" s="578"/>
      <c r="AV69" s="579"/>
      <c r="AY69" s="576" t="s">
        <v>1324</v>
      </c>
      <c r="AZ69" s="577"/>
      <c r="BA69" s="577"/>
      <c r="BB69" s="577"/>
      <c r="BC69" s="577"/>
      <c r="BD69" s="577"/>
      <c r="BE69" s="578"/>
      <c r="BF69" s="579"/>
    </row>
    <row r="70" spans="1:58" ht="12" customHeight="1" thickBot="1" x14ac:dyDescent="0.25">
      <c r="A70" s="723" t="s">
        <v>116</v>
      </c>
      <c r="B70" s="723"/>
      <c r="C70" s="723"/>
      <c r="D70" s="723"/>
      <c r="E70" s="723"/>
      <c r="F70" s="723"/>
      <c r="G70" s="723"/>
      <c r="H70" s="723"/>
      <c r="I70" s="723"/>
      <c r="J70" s="723"/>
      <c r="K70" s="724"/>
      <c r="L70" s="724"/>
      <c r="M70" s="725" t="str">
        <f>+InB</f>
        <v/>
      </c>
      <c r="N70" s="725"/>
      <c r="O70" s="726" t="str">
        <f>IF(K70&gt;0,K70+M70,"")</f>
        <v/>
      </c>
      <c r="P70" s="726"/>
      <c r="Q70" s="727"/>
      <c r="R70" s="727"/>
      <c r="U70" s="594"/>
      <c r="V70" s="594"/>
      <c r="W70" s="594"/>
      <c r="X70" s="594"/>
      <c r="Y70" s="594"/>
      <c r="Z70" s="594"/>
      <c r="AA70" s="594"/>
      <c r="AB70" s="594"/>
      <c r="AC70" s="594"/>
      <c r="AD70" s="594"/>
      <c r="AE70" s="709" t="s">
        <v>75</v>
      </c>
      <c r="AF70" s="709"/>
      <c r="AG70" s="709" t="s">
        <v>75</v>
      </c>
      <c r="AH70" s="709"/>
      <c r="AI70" s="707" t="s">
        <v>75</v>
      </c>
      <c r="AJ70" s="707"/>
      <c r="AK70" s="680" t="s">
        <v>75</v>
      </c>
      <c r="AL70" s="680"/>
      <c r="AO70" s="568"/>
      <c r="AP70" s="569"/>
      <c r="AQ70" s="569"/>
      <c r="AR70" s="569"/>
      <c r="AS70" s="569"/>
      <c r="AT70" s="569"/>
      <c r="AU70" s="570"/>
      <c r="AV70" s="571"/>
      <c r="AY70" s="568" t="s">
        <v>1322</v>
      </c>
      <c r="AZ70" s="569"/>
      <c r="BA70" s="569"/>
      <c r="BB70" s="569"/>
      <c r="BC70" s="569"/>
      <c r="BD70" s="569"/>
      <c r="BE70" s="570"/>
      <c r="BF70" s="571"/>
    </row>
  </sheetData>
  <sheetProtection password="E882" sheet="1" objects="1" scenarios="1" selectLockedCells="1"/>
  <sortState ref="AY63:BD70">
    <sortCondition ref="AY63"/>
  </sortState>
  <mergeCells count="776">
    <mergeCell ref="X32:AF32"/>
    <mergeCell ref="X33:AK33"/>
    <mergeCell ref="X34:AK35"/>
    <mergeCell ref="A21:J21"/>
    <mergeCell ref="K21:P21"/>
    <mergeCell ref="Q22:R22"/>
    <mergeCell ref="S34:T34"/>
    <mergeCell ref="U34:V34"/>
    <mergeCell ref="A33:K33"/>
    <mergeCell ref="N33:O33"/>
    <mergeCell ref="P33:R33"/>
    <mergeCell ref="S33:T33"/>
    <mergeCell ref="L27:M27"/>
    <mergeCell ref="N27:O27"/>
    <mergeCell ref="A31:K31"/>
    <mergeCell ref="L31:M31"/>
    <mergeCell ref="N31:O31"/>
    <mergeCell ref="L30:M30"/>
    <mergeCell ref="N30:O30"/>
    <mergeCell ref="L28:M28"/>
    <mergeCell ref="A34:K34"/>
    <mergeCell ref="L34:M34"/>
    <mergeCell ref="A35:K35"/>
    <mergeCell ref="L35:M35"/>
    <mergeCell ref="F9:H9"/>
    <mergeCell ref="K9:M9"/>
    <mergeCell ref="A29:K29"/>
    <mergeCell ref="A30:K30"/>
    <mergeCell ref="A18:J18"/>
    <mergeCell ref="K18:P18"/>
    <mergeCell ref="A20:J20"/>
    <mergeCell ref="K20:P20"/>
    <mergeCell ref="A23:J23"/>
    <mergeCell ref="K23:P23"/>
    <mergeCell ref="A25:J25"/>
    <mergeCell ref="K25:P25"/>
    <mergeCell ref="A19:J19"/>
    <mergeCell ref="K19:P19"/>
    <mergeCell ref="A22:J22"/>
    <mergeCell ref="K22:P22"/>
    <mergeCell ref="A24:J24"/>
    <mergeCell ref="K24:P24"/>
    <mergeCell ref="A9:C9"/>
    <mergeCell ref="K12:M12"/>
    <mergeCell ref="G12:I12"/>
    <mergeCell ref="A12:B12"/>
    <mergeCell ref="D12:E12"/>
    <mergeCell ref="A13:B13"/>
    <mergeCell ref="AU32:AV32"/>
    <mergeCell ref="AW32:AX32"/>
    <mergeCell ref="AY32:AZ32"/>
    <mergeCell ref="BA32:BB32"/>
    <mergeCell ref="S24:V24"/>
    <mergeCell ref="W24:X24"/>
    <mergeCell ref="A27:K27"/>
    <mergeCell ref="A28:K28"/>
    <mergeCell ref="Q24:R24"/>
    <mergeCell ref="BA28:BB28"/>
    <mergeCell ref="AM28:AT28"/>
    <mergeCell ref="AU28:AV28"/>
    <mergeCell ref="AW28:AX28"/>
    <mergeCell ref="AY28:AZ28"/>
    <mergeCell ref="AU29:AV29"/>
    <mergeCell ref="AW29:AX29"/>
    <mergeCell ref="AW30:AX30"/>
    <mergeCell ref="AY30:AZ30"/>
    <mergeCell ref="BA30:BB30"/>
    <mergeCell ref="BA31:BB31"/>
    <mergeCell ref="AG32:AK32"/>
    <mergeCell ref="AW31:AX31"/>
    <mergeCell ref="X28:AF28"/>
    <mergeCell ref="X29:AF29"/>
    <mergeCell ref="AJ9:AL9"/>
    <mergeCell ref="AY29:AZ29"/>
    <mergeCell ref="BA29:BB29"/>
    <mergeCell ref="AG20:AM20"/>
    <mergeCell ref="AM27:AT27"/>
    <mergeCell ref="Y21:Z21"/>
    <mergeCell ref="Y23:Z23"/>
    <mergeCell ref="Y22:Z22"/>
    <mergeCell ref="AA21:AB21"/>
    <mergeCell ref="AE9:AG9"/>
    <mergeCell ref="O11:Y11"/>
    <mergeCell ref="O12:Q12"/>
    <mergeCell ref="S12:U12"/>
    <mergeCell ref="W12:Y12"/>
    <mergeCell ref="AH12:AJ12"/>
    <mergeCell ref="AO9:AQ9"/>
    <mergeCell ref="AE12:AG12"/>
    <mergeCell ref="AE13:AG13"/>
    <mergeCell ref="AL12:AN12"/>
    <mergeCell ref="AO12:AQ12"/>
    <mergeCell ref="AH13:AJ13"/>
    <mergeCell ref="AA12:AC12"/>
    <mergeCell ref="Q18:R18"/>
    <mergeCell ref="AN25:BF25"/>
    <mergeCell ref="BC27:BD27"/>
    <mergeCell ref="Y19:Z19"/>
    <mergeCell ref="Y18:Z18"/>
    <mergeCell ref="AN18:BF18"/>
    <mergeCell ref="AN19:BF19"/>
    <mergeCell ref="AN20:BF20"/>
    <mergeCell ref="AN21:BF21"/>
    <mergeCell ref="AN22:BF22"/>
    <mergeCell ref="AN23:BF23"/>
    <mergeCell ref="AN24:BF24"/>
    <mergeCell ref="X27:AK27"/>
    <mergeCell ref="W22:X22"/>
    <mergeCell ref="W19:X19"/>
    <mergeCell ref="AG15:AM15"/>
    <mergeCell ref="W20:X20"/>
    <mergeCell ref="Y20:Z20"/>
    <mergeCell ref="AG24:AM24"/>
    <mergeCell ref="AG25:AM25"/>
    <mergeCell ref="BA27:BB27"/>
    <mergeCell ref="AC21:AF21"/>
    <mergeCell ref="AA23:AB23"/>
    <mergeCell ref="AC23:AF23"/>
    <mergeCell ref="AN16:BF16"/>
    <mergeCell ref="AN17:BF17"/>
    <mergeCell ref="Y17:Z17"/>
    <mergeCell ref="W16:X16"/>
    <mergeCell ref="Y16:Z16"/>
    <mergeCell ref="W23:X23"/>
    <mergeCell ref="W21:X21"/>
    <mergeCell ref="BE27:BF27"/>
    <mergeCell ref="AG18:AM18"/>
    <mergeCell ref="AG21:AM21"/>
    <mergeCell ref="AW27:AX27"/>
    <mergeCell ref="AY27:AZ27"/>
    <mergeCell ref="Y24:Z24"/>
    <mergeCell ref="AA24:AB24"/>
    <mergeCell ref="AC24:AF24"/>
    <mergeCell ref="AN15:BF15"/>
    <mergeCell ref="AA16:AB16"/>
    <mergeCell ref="Q17:R17"/>
    <mergeCell ref="W17:X17"/>
    <mergeCell ref="AC16:AF16"/>
    <mergeCell ref="BD9:BF9"/>
    <mergeCell ref="P9:R9"/>
    <mergeCell ref="U9:W9"/>
    <mergeCell ref="Z9:AB9"/>
    <mergeCell ref="BB12:BF12"/>
    <mergeCell ref="BB13:BF13"/>
    <mergeCell ref="AS11:BF11"/>
    <mergeCell ref="AW12:AZ12"/>
    <mergeCell ref="AT9:AV9"/>
    <mergeCell ref="AY9:BA9"/>
    <mergeCell ref="AW13:AZ13"/>
    <mergeCell ref="AS12:AU12"/>
    <mergeCell ref="AS13:AU13"/>
    <mergeCell ref="AL13:AN13"/>
    <mergeCell ref="AO13:AQ13"/>
    <mergeCell ref="AA11:AQ11"/>
    <mergeCell ref="W13:Y13"/>
    <mergeCell ref="S13:U13"/>
    <mergeCell ref="AG16:AM16"/>
    <mergeCell ref="AT6:BF6"/>
    <mergeCell ref="A8:C8"/>
    <mergeCell ref="F8:H8"/>
    <mergeCell ref="K8:M8"/>
    <mergeCell ref="P8:R8"/>
    <mergeCell ref="U8:W8"/>
    <mergeCell ref="BD8:BF8"/>
    <mergeCell ref="Z8:AB8"/>
    <mergeCell ref="AE8:AG8"/>
    <mergeCell ref="AJ8:AL8"/>
    <mergeCell ref="AO8:AQ8"/>
    <mergeCell ref="AT8:AV8"/>
    <mergeCell ref="AY8:BA8"/>
    <mergeCell ref="E6:N6"/>
    <mergeCell ref="P6:R6"/>
    <mergeCell ref="S6:AL6"/>
    <mergeCell ref="A6:D6"/>
    <mergeCell ref="AO6:AS6"/>
    <mergeCell ref="D13:E13"/>
    <mergeCell ref="AA13:AC13"/>
    <mergeCell ref="A17:J17"/>
    <mergeCell ref="S17:V17"/>
    <mergeCell ref="K17:P17"/>
    <mergeCell ref="Q16:R16"/>
    <mergeCell ref="S16:V16"/>
    <mergeCell ref="K16:P16"/>
    <mergeCell ref="K15:P15"/>
    <mergeCell ref="G13:I13"/>
    <mergeCell ref="K13:M13"/>
    <mergeCell ref="A15:J15"/>
    <mergeCell ref="A16:J16"/>
    <mergeCell ref="Q15:R15"/>
    <mergeCell ref="S15:V15"/>
    <mergeCell ref="AC17:AF17"/>
    <mergeCell ref="AC15:AF15"/>
    <mergeCell ref="AA17:AB17"/>
    <mergeCell ref="AA15:AB15"/>
    <mergeCell ref="W15:Z15"/>
    <mergeCell ref="O13:Q13"/>
    <mergeCell ref="AY31:AZ31"/>
    <mergeCell ref="AG30:AK30"/>
    <mergeCell ref="AM30:AT30"/>
    <mergeCell ref="AU27:AV27"/>
    <mergeCell ref="AU31:AV31"/>
    <mergeCell ref="AG31:AK31"/>
    <mergeCell ref="AM31:AT31"/>
    <mergeCell ref="Q19:R19"/>
    <mergeCell ref="Q20:R20"/>
    <mergeCell ref="Q23:R23"/>
    <mergeCell ref="S19:V19"/>
    <mergeCell ref="S20:V20"/>
    <mergeCell ref="Q21:R21"/>
    <mergeCell ref="AG23:AM23"/>
    <mergeCell ref="AA22:AB22"/>
    <mergeCell ref="AC22:AF22"/>
    <mergeCell ref="S30:T30"/>
    <mergeCell ref="AU30:AV30"/>
    <mergeCell ref="X30:AF30"/>
    <mergeCell ref="X31:AF31"/>
    <mergeCell ref="AG17:AM17"/>
    <mergeCell ref="S23:V23"/>
    <mergeCell ref="AA19:AB19"/>
    <mergeCell ref="AC19:AF19"/>
    <mergeCell ref="AG19:AM19"/>
    <mergeCell ref="AA20:AB20"/>
    <mergeCell ref="AC20:AF20"/>
    <mergeCell ref="S21:V21"/>
    <mergeCell ref="S22:V22"/>
    <mergeCell ref="AA18:AB18"/>
    <mergeCell ref="AC18:AF18"/>
    <mergeCell ref="W18:X18"/>
    <mergeCell ref="S18:V18"/>
    <mergeCell ref="AG22:AM22"/>
    <mergeCell ref="AM32:AT32"/>
    <mergeCell ref="S31:T31"/>
    <mergeCell ref="U31:V31"/>
    <mergeCell ref="AG28:AK28"/>
    <mergeCell ref="Q25:R25"/>
    <mergeCell ref="S25:V25"/>
    <mergeCell ref="W25:X25"/>
    <mergeCell ref="Y25:Z25"/>
    <mergeCell ref="AC25:AF25"/>
    <mergeCell ref="AA25:AB25"/>
    <mergeCell ref="U30:V30"/>
    <mergeCell ref="P27:R27"/>
    <mergeCell ref="P28:R28"/>
    <mergeCell ref="P32:R32"/>
    <mergeCell ref="S32:T32"/>
    <mergeCell ref="U29:V29"/>
    <mergeCell ref="P29:R29"/>
    <mergeCell ref="AM29:AT29"/>
    <mergeCell ref="AG29:AK29"/>
    <mergeCell ref="S27:T27"/>
    <mergeCell ref="U27:V27"/>
    <mergeCell ref="U28:V28"/>
    <mergeCell ref="P30:R30"/>
    <mergeCell ref="P31:R31"/>
    <mergeCell ref="U33:V33"/>
    <mergeCell ref="BA33:BB33"/>
    <mergeCell ref="AU34:AV34"/>
    <mergeCell ref="AY37:AZ37"/>
    <mergeCell ref="U35:V35"/>
    <mergeCell ref="U37:AD37"/>
    <mergeCell ref="AE39:AF39"/>
    <mergeCell ref="U39:AD39"/>
    <mergeCell ref="AE41:AF41"/>
    <mergeCell ref="BA39:BB39"/>
    <mergeCell ref="AO39:AX39"/>
    <mergeCell ref="AI37:AJ37"/>
    <mergeCell ref="AY39:AZ39"/>
    <mergeCell ref="AG37:AH37"/>
    <mergeCell ref="AK37:AL37"/>
    <mergeCell ref="AE40:AF40"/>
    <mergeCell ref="AG40:AH40"/>
    <mergeCell ref="AO37:AX37"/>
    <mergeCell ref="AE37:AF37"/>
    <mergeCell ref="BA40:BB40"/>
    <mergeCell ref="BA35:BB35"/>
    <mergeCell ref="BA37:BB37"/>
    <mergeCell ref="AM34:AT34"/>
    <mergeCell ref="BA34:BB34"/>
    <mergeCell ref="AM33:AT33"/>
    <mergeCell ref="AU33:AV33"/>
    <mergeCell ref="AW33:AX33"/>
    <mergeCell ref="AY33:AZ33"/>
    <mergeCell ref="AW34:AX34"/>
    <mergeCell ref="AY34:AZ34"/>
    <mergeCell ref="AU35:AV35"/>
    <mergeCell ref="AW35:AX35"/>
    <mergeCell ref="AY35:AZ35"/>
    <mergeCell ref="AG38:AH38"/>
    <mergeCell ref="AI38:AJ38"/>
    <mergeCell ref="K52:L52"/>
    <mergeCell ref="M52:N52"/>
    <mergeCell ref="K50:L50"/>
    <mergeCell ref="M50:N50"/>
    <mergeCell ref="O50:P50"/>
    <mergeCell ref="Q50:R50"/>
    <mergeCell ref="Q59:R59"/>
    <mergeCell ref="K42:L42"/>
    <mergeCell ref="M42:N42"/>
    <mergeCell ref="K46:L46"/>
    <mergeCell ref="K43:L43"/>
    <mergeCell ref="K41:L41"/>
    <mergeCell ref="K40:L40"/>
    <mergeCell ref="M40:N40"/>
    <mergeCell ref="O40:P40"/>
    <mergeCell ref="Q40:R40"/>
    <mergeCell ref="M41:N41"/>
    <mergeCell ref="O41:P41"/>
    <mergeCell ref="Q41:R41"/>
    <mergeCell ref="K39:L39"/>
    <mergeCell ref="M39:N39"/>
    <mergeCell ref="O39:P39"/>
    <mergeCell ref="A37:J37"/>
    <mergeCell ref="K37:L37"/>
    <mergeCell ref="M37:N37"/>
    <mergeCell ref="O37:P37"/>
    <mergeCell ref="Q37:R37"/>
    <mergeCell ref="A42:J42"/>
    <mergeCell ref="AE38:AF38"/>
    <mergeCell ref="N35:O35"/>
    <mergeCell ref="P35:R35"/>
    <mergeCell ref="S35:T35"/>
    <mergeCell ref="A41:J41"/>
    <mergeCell ref="A40:J40"/>
    <mergeCell ref="A39:J39"/>
    <mergeCell ref="Q39:R39"/>
    <mergeCell ref="U40:AD40"/>
    <mergeCell ref="G38:J38"/>
    <mergeCell ref="A38:F38"/>
    <mergeCell ref="U52:AD52"/>
    <mergeCell ref="K60:L60"/>
    <mergeCell ref="M60:N60"/>
    <mergeCell ref="O60:P60"/>
    <mergeCell ref="Q60:R60"/>
    <mergeCell ref="Q65:R65"/>
    <mergeCell ref="U58:AD58"/>
    <mergeCell ref="Q62:R62"/>
    <mergeCell ref="O52:P52"/>
    <mergeCell ref="K56:L56"/>
    <mergeCell ref="M56:N56"/>
    <mergeCell ref="O56:P56"/>
    <mergeCell ref="O62:P62"/>
    <mergeCell ref="O64:P64"/>
    <mergeCell ref="O63:P63"/>
    <mergeCell ref="O53:P53"/>
    <mergeCell ref="U59:AA59"/>
    <mergeCell ref="AB59:AD59"/>
    <mergeCell ref="O54:P54"/>
    <mergeCell ref="Q54:R54"/>
    <mergeCell ref="Q56:R56"/>
    <mergeCell ref="O55:P55"/>
    <mergeCell ref="Q55:R55"/>
    <mergeCell ref="O61:P61"/>
    <mergeCell ref="O43:P43"/>
    <mergeCell ref="Q43:R43"/>
    <mergeCell ref="A44:J44"/>
    <mergeCell ref="K44:L44"/>
    <mergeCell ref="M44:N44"/>
    <mergeCell ref="O44:P44"/>
    <mergeCell ref="Q44:R44"/>
    <mergeCell ref="M46:N46"/>
    <mergeCell ref="O46:P46"/>
    <mergeCell ref="Q46:R46"/>
    <mergeCell ref="A45:J45"/>
    <mergeCell ref="K45:L45"/>
    <mergeCell ref="M45:N45"/>
    <mergeCell ref="A46:J46"/>
    <mergeCell ref="A43:J43"/>
    <mergeCell ref="Q70:R70"/>
    <mergeCell ref="O69:P69"/>
    <mergeCell ref="Q69:R69"/>
    <mergeCell ref="U68:AD68"/>
    <mergeCell ref="AE68:AF68"/>
    <mergeCell ref="AG68:AH68"/>
    <mergeCell ref="O68:P68"/>
    <mergeCell ref="Q68:R68"/>
    <mergeCell ref="AE67:AF67"/>
    <mergeCell ref="Q67:R67"/>
    <mergeCell ref="A70:J70"/>
    <mergeCell ref="K70:L70"/>
    <mergeCell ref="M70:N70"/>
    <mergeCell ref="A67:J67"/>
    <mergeCell ref="O65:P65"/>
    <mergeCell ref="A68:J68"/>
    <mergeCell ref="K68:L68"/>
    <mergeCell ref="K67:L67"/>
    <mergeCell ref="M67:N67"/>
    <mergeCell ref="O67:P67"/>
    <mergeCell ref="M68:N68"/>
    <mergeCell ref="K66:L66"/>
    <mergeCell ref="A66:J66"/>
    <mergeCell ref="K65:L65"/>
    <mergeCell ref="M65:N65"/>
    <mergeCell ref="M66:N66"/>
    <mergeCell ref="O66:P66"/>
    <mergeCell ref="A69:J69"/>
    <mergeCell ref="K69:L69"/>
    <mergeCell ref="M69:N69"/>
    <mergeCell ref="A65:J65"/>
    <mergeCell ref="O70:P70"/>
    <mergeCell ref="A62:J62"/>
    <mergeCell ref="K62:L62"/>
    <mergeCell ref="M62:N62"/>
    <mergeCell ref="M64:N64"/>
    <mergeCell ref="M63:N63"/>
    <mergeCell ref="A53:J53"/>
    <mergeCell ref="K53:L53"/>
    <mergeCell ref="M53:N53"/>
    <mergeCell ref="M54:N54"/>
    <mergeCell ref="A55:J55"/>
    <mergeCell ref="K55:L55"/>
    <mergeCell ref="M55:N55"/>
    <mergeCell ref="A63:J63"/>
    <mergeCell ref="K63:L63"/>
    <mergeCell ref="K64:L64"/>
    <mergeCell ref="A64:J64"/>
    <mergeCell ref="M58:N58"/>
    <mergeCell ref="A61:J61"/>
    <mergeCell ref="K61:L61"/>
    <mergeCell ref="M61:N61"/>
    <mergeCell ref="A49:J49"/>
    <mergeCell ref="K49:L49"/>
    <mergeCell ref="M49:N49"/>
    <mergeCell ref="O49:P49"/>
    <mergeCell ref="Q49:R49"/>
    <mergeCell ref="A48:J48"/>
    <mergeCell ref="K48:L48"/>
    <mergeCell ref="M48:N48"/>
    <mergeCell ref="O48:P48"/>
    <mergeCell ref="Q48:R48"/>
    <mergeCell ref="Q61:R61"/>
    <mergeCell ref="A56:J56"/>
    <mergeCell ref="K59:L59"/>
    <mergeCell ref="M51:N51"/>
    <mergeCell ref="Q52:R52"/>
    <mergeCell ref="A60:J60"/>
    <mergeCell ref="A57:J57"/>
    <mergeCell ref="K57:L57"/>
    <mergeCell ref="M57:N57"/>
    <mergeCell ref="O57:P57"/>
    <mergeCell ref="K58:L58"/>
    <mergeCell ref="A58:J58"/>
    <mergeCell ref="A59:J59"/>
    <mergeCell ref="M59:N59"/>
    <mergeCell ref="O59:P59"/>
    <mergeCell ref="A54:J54"/>
    <mergeCell ref="K54:L54"/>
    <mergeCell ref="A52:H52"/>
    <mergeCell ref="I52:J52"/>
    <mergeCell ref="O58:P58"/>
    <mergeCell ref="A51:H51"/>
    <mergeCell ref="AI70:AJ70"/>
    <mergeCell ref="AG61:AH61"/>
    <mergeCell ref="AI61:AJ61"/>
    <mergeCell ref="U38:AD38"/>
    <mergeCell ref="AG70:AH70"/>
    <mergeCell ref="AO38:AX38"/>
    <mergeCell ref="AY38:AZ38"/>
    <mergeCell ref="BA38:BB38"/>
    <mergeCell ref="AI39:AJ39"/>
    <mergeCell ref="AK39:AL39"/>
    <mergeCell ref="U42:AD42"/>
    <mergeCell ref="AE42:AF42"/>
    <mergeCell ref="AI40:AJ40"/>
    <mergeCell ref="AK40:AL40"/>
    <mergeCell ref="AI41:AJ41"/>
    <mergeCell ref="AK41:AL41"/>
    <mergeCell ref="AG39:AH39"/>
    <mergeCell ref="AI42:AJ42"/>
    <mergeCell ref="AK42:AL42"/>
    <mergeCell ref="U70:AD70"/>
    <mergeCell ref="AE70:AF70"/>
    <mergeCell ref="AG41:AH41"/>
    <mergeCell ref="U41:Z41"/>
    <mergeCell ref="U67:AD67"/>
    <mergeCell ref="U65:AD65"/>
    <mergeCell ref="AE65:AF65"/>
    <mergeCell ref="AK38:AL38"/>
    <mergeCell ref="Q66:R66"/>
    <mergeCell ref="U69:AD69"/>
    <mergeCell ref="AE69:AF69"/>
    <mergeCell ref="Q64:R64"/>
    <mergeCell ref="Q63:R63"/>
    <mergeCell ref="U61:AD61"/>
    <mergeCell ref="AE61:AF61"/>
    <mergeCell ref="U60:AD60"/>
    <mergeCell ref="AG62:AH62"/>
    <mergeCell ref="AE60:AF60"/>
    <mergeCell ref="AG67:AH67"/>
    <mergeCell ref="Q51:R51"/>
    <mergeCell ref="Q42:R42"/>
    <mergeCell ref="Q58:R58"/>
    <mergeCell ref="AG45:AH45"/>
    <mergeCell ref="AG43:AH43"/>
    <mergeCell ref="AG47:AH47"/>
    <mergeCell ref="AG42:AH42"/>
    <mergeCell ref="U44:AD44"/>
    <mergeCell ref="AG50:AH50"/>
    <mergeCell ref="Q45:R45"/>
    <mergeCell ref="AI60:AJ60"/>
    <mergeCell ref="AG59:AH59"/>
    <mergeCell ref="AI59:AJ59"/>
    <mergeCell ref="AE58:AF58"/>
    <mergeCell ref="AG58:AH58"/>
    <mergeCell ref="AI58:AJ58"/>
    <mergeCell ref="AG60:AH60"/>
    <mergeCell ref="AE59:AF59"/>
    <mergeCell ref="AK67:AL67"/>
    <mergeCell ref="AI67:AJ67"/>
    <mergeCell ref="AK62:AL62"/>
    <mergeCell ref="AK60:AL60"/>
    <mergeCell ref="AK61:AL61"/>
    <mergeCell ref="U62:AD62"/>
    <mergeCell ref="AE62:AF62"/>
    <mergeCell ref="BE65:BF65"/>
    <mergeCell ref="BE64:BF64"/>
    <mergeCell ref="BE63:BF63"/>
    <mergeCell ref="AU68:AV68"/>
    <mergeCell ref="AU69:AV69"/>
    <mergeCell ref="AU66:AV66"/>
    <mergeCell ref="AY64:BD64"/>
    <mergeCell ref="AU67:AV67"/>
    <mergeCell ref="AO62:AT62"/>
    <mergeCell ref="AU62:AV62"/>
    <mergeCell ref="AO67:AT67"/>
    <mergeCell ref="AO66:AT66"/>
    <mergeCell ref="AY65:BD65"/>
    <mergeCell ref="AY63:BD63"/>
    <mergeCell ref="AO68:AT68"/>
    <mergeCell ref="AO64:AT64"/>
    <mergeCell ref="AU64:AV64"/>
    <mergeCell ref="AO69:AT69"/>
    <mergeCell ref="AO65:AT65"/>
    <mergeCell ref="AU65:AV65"/>
    <mergeCell ref="AU63:AV63"/>
    <mergeCell ref="AY62:BD62"/>
    <mergeCell ref="AK70:AL70"/>
    <mergeCell ref="U53:AD53"/>
    <mergeCell ref="AE53:AF53"/>
    <mergeCell ref="AG53:AH53"/>
    <mergeCell ref="AI53:AJ53"/>
    <mergeCell ref="AK53:AL53"/>
    <mergeCell ref="AK69:AL69"/>
    <mergeCell ref="AI68:AJ68"/>
    <mergeCell ref="AK68:AL68"/>
    <mergeCell ref="AI69:AJ69"/>
    <mergeCell ref="U55:AD55"/>
    <mergeCell ref="AG69:AH69"/>
    <mergeCell ref="AG65:AH65"/>
    <mergeCell ref="AI55:AJ55"/>
    <mergeCell ref="U66:AD66"/>
    <mergeCell ref="AE66:AF66"/>
    <mergeCell ref="AK65:AL65"/>
    <mergeCell ref="AI62:AJ62"/>
    <mergeCell ref="AI66:AJ66"/>
    <mergeCell ref="AK66:AL66"/>
    <mergeCell ref="AI65:AJ65"/>
    <mergeCell ref="U63:AL63"/>
    <mergeCell ref="AG66:AH66"/>
    <mergeCell ref="AI54:AJ54"/>
    <mergeCell ref="AK54:AL54"/>
    <mergeCell ref="AK51:AL51"/>
    <mergeCell ref="AK52:AL52"/>
    <mergeCell ref="AK59:AL59"/>
    <mergeCell ref="AK58:AL58"/>
    <mergeCell ref="AI57:AJ57"/>
    <mergeCell ref="AK57:AL57"/>
    <mergeCell ref="AI51:AJ51"/>
    <mergeCell ref="Q57:R57"/>
    <mergeCell ref="AE51:AF51"/>
    <mergeCell ref="AE52:AF52"/>
    <mergeCell ref="AG52:AH52"/>
    <mergeCell ref="AI52:AJ52"/>
    <mergeCell ref="AG51:AH51"/>
    <mergeCell ref="AE55:AF55"/>
    <mergeCell ref="AG54:AH54"/>
    <mergeCell ref="AG56:AH56"/>
    <mergeCell ref="AG57:AH57"/>
    <mergeCell ref="AI56:AJ56"/>
    <mergeCell ref="AK56:AL56"/>
    <mergeCell ref="AE56:AF56"/>
    <mergeCell ref="U56:AD56"/>
    <mergeCell ref="U57:AD57"/>
    <mergeCell ref="AE57:AF57"/>
    <mergeCell ref="A50:J50"/>
    <mergeCell ref="A47:J47"/>
    <mergeCell ref="K47:L47"/>
    <mergeCell ref="I51:J51"/>
    <mergeCell ref="K51:L51"/>
    <mergeCell ref="AK55:AL55"/>
    <mergeCell ref="K38:L38"/>
    <mergeCell ref="M38:N38"/>
    <mergeCell ref="O38:P38"/>
    <mergeCell ref="Q38:R38"/>
    <mergeCell ref="M47:N47"/>
    <mergeCell ref="O42:P42"/>
    <mergeCell ref="O45:P45"/>
    <mergeCell ref="Q53:R53"/>
    <mergeCell ref="U54:AD54"/>
    <mergeCell ref="AE54:AF54"/>
    <mergeCell ref="AG55:AH55"/>
    <mergeCell ref="O51:P51"/>
    <mergeCell ref="Y51:AD51"/>
    <mergeCell ref="Q47:R47"/>
    <mergeCell ref="O47:P47"/>
    <mergeCell ref="AK43:AL43"/>
    <mergeCell ref="AE43:AF43"/>
    <mergeCell ref="AE44:AF44"/>
    <mergeCell ref="BE40:BF40"/>
    <mergeCell ref="BE41:BF41"/>
    <mergeCell ref="AO40:AX40"/>
    <mergeCell ref="AY40:AZ40"/>
    <mergeCell ref="BC38:BD38"/>
    <mergeCell ref="BE38:BF38"/>
    <mergeCell ref="BE37:BF37"/>
    <mergeCell ref="BC37:BD37"/>
    <mergeCell ref="AM35:AT35"/>
    <mergeCell ref="BE39:BF39"/>
    <mergeCell ref="AO41:AX41"/>
    <mergeCell ref="BA41:BB41"/>
    <mergeCell ref="BC41:BD41"/>
    <mergeCell ref="BE28:BF28"/>
    <mergeCell ref="BE29:BF29"/>
    <mergeCell ref="BE33:BF33"/>
    <mergeCell ref="BE34:BF34"/>
    <mergeCell ref="BE35:BF35"/>
    <mergeCell ref="BC30:BD30"/>
    <mergeCell ref="BC31:BD31"/>
    <mergeCell ref="A32:K32"/>
    <mergeCell ref="L32:M32"/>
    <mergeCell ref="N32:O32"/>
    <mergeCell ref="U32:V32"/>
    <mergeCell ref="BC35:BD35"/>
    <mergeCell ref="BE30:BF30"/>
    <mergeCell ref="BE31:BF31"/>
    <mergeCell ref="BE32:BF32"/>
    <mergeCell ref="BC28:BD28"/>
    <mergeCell ref="BC29:BD29"/>
    <mergeCell ref="L29:M29"/>
    <mergeCell ref="N29:O29"/>
    <mergeCell ref="S29:T29"/>
    <mergeCell ref="N28:O28"/>
    <mergeCell ref="S28:T28"/>
    <mergeCell ref="N34:O34"/>
    <mergeCell ref="P34:R34"/>
    <mergeCell ref="AO42:AX42"/>
    <mergeCell ref="AY42:AZ42"/>
    <mergeCell ref="BA44:BB44"/>
    <mergeCell ref="AO44:AX44"/>
    <mergeCell ref="L33:M33"/>
    <mergeCell ref="AA41:AD41"/>
    <mergeCell ref="BC39:BD39"/>
    <mergeCell ref="BC32:BD32"/>
    <mergeCell ref="AY44:AZ44"/>
    <mergeCell ref="AO43:AX43"/>
    <mergeCell ref="AY43:AZ43"/>
    <mergeCell ref="BA43:BB43"/>
    <mergeCell ref="BA42:BB42"/>
    <mergeCell ref="BC42:BD42"/>
    <mergeCell ref="AI43:AJ43"/>
    <mergeCell ref="BC33:BD33"/>
    <mergeCell ref="BC34:BD34"/>
    <mergeCell ref="AY41:AZ41"/>
    <mergeCell ref="BC40:BD40"/>
    <mergeCell ref="U43:AD43"/>
    <mergeCell ref="AI44:AJ44"/>
    <mergeCell ref="AK44:AL44"/>
    <mergeCell ref="AG44:AH44"/>
    <mergeCell ref="M43:N43"/>
    <mergeCell ref="AA45:AD45"/>
    <mergeCell ref="AG48:AH48"/>
    <mergeCell ref="AI48:AJ48"/>
    <mergeCell ref="U48:AD48"/>
    <mergeCell ref="AK50:AL50"/>
    <mergeCell ref="AO51:AX51"/>
    <mergeCell ref="AY51:AZ51"/>
    <mergeCell ref="BA51:BB51"/>
    <mergeCell ref="BC44:BD44"/>
    <mergeCell ref="AK46:AL46"/>
    <mergeCell ref="AI47:AJ47"/>
    <mergeCell ref="AK47:AL47"/>
    <mergeCell ref="AG46:AH46"/>
    <mergeCell ref="AI46:AJ46"/>
    <mergeCell ref="U47:X47"/>
    <mergeCell ref="AI45:AJ45"/>
    <mergeCell ref="AK45:AL45"/>
    <mergeCell ref="AE45:AF45"/>
    <mergeCell ref="U45:Z45"/>
    <mergeCell ref="U46:AD46"/>
    <mergeCell ref="AE46:AF46"/>
    <mergeCell ref="AE47:AF47"/>
    <mergeCell ref="Y47:AD47"/>
    <mergeCell ref="AY45:AZ45"/>
    <mergeCell ref="AO45:AX45"/>
    <mergeCell ref="AY47:AZ47"/>
    <mergeCell ref="BA49:BB49"/>
    <mergeCell ref="AO47:AX47"/>
    <mergeCell ref="AY46:AZ46"/>
    <mergeCell ref="BA46:BB46"/>
    <mergeCell ref="BA45:BB45"/>
    <mergeCell ref="AO46:AX46"/>
    <mergeCell ref="AI50:AJ50"/>
    <mergeCell ref="U50:AD50"/>
    <mergeCell ref="AE50:AF50"/>
    <mergeCell ref="AE48:AF48"/>
    <mergeCell ref="AK48:AL48"/>
    <mergeCell ref="AO48:AX48"/>
    <mergeCell ref="BA47:BB47"/>
    <mergeCell ref="U51:X51"/>
    <mergeCell ref="U49:AD49"/>
    <mergeCell ref="AE49:AF49"/>
    <mergeCell ref="AG49:AH49"/>
    <mergeCell ref="AI49:AJ49"/>
    <mergeCell ref="AK49:AL49"/>
    <mergeCell ref="BE46:BF46"/>
    <mergeCell ref="BE45:BF45"/>
    <mergeCell ref="BE51:BF51"/>
    <mergeCell ref="BE50:BF50"/>
    <mergeCell ref="BC45:BD45"/>
    <mergeCell ref="BC46:BD46"/>
    <mergeCell ref="BE42:BF42"/>
    <mergeCell ref="BC43:BD43"/>
    <mergeCell ref="BE43:BF43"/>
    <mergeCell ref="BE44:BF44"/>
    <mergeCell ref="BC47:BD47"/>
    <mergeCell ref="BE47:BF47"/>
    <mergeCell ref="BC51:BD51"/>
    <mergeCell ref="BC49:BD49"/>
    <mergeCell ref="BE48:BF48"/>
    <mergeCell ref="BE49:BF49"/>
    <mergeCell ref="AO53:BB53"/>
    <mergeCell ref="AO50:AX50"/>
    <mergeCell ref="AY50:AZ50"/>
    <mergeCell ref="BA50:BB50"/>
    <mergeCell ref="BC50:BD50"/>
    <mergeCell ref="AY48:AZ48"/>
    <mergeCell ref="BA48:BB48"/>
    <mergeCell ref="BC48:BD48"/>
    <mergeCell ref="BE54:BF54"/>
    <mergeCell ref="BE53:BF53"/>
    <mergeCell ref="BC53:BD53"/>
    <mergeCell ref="AO49:AX49"/>
    <mergeCell ref="AY49:AZ49"/>
    <mergeCell ref="BE55:BF55"/>
    <mergeCell ref="BC56:BD56"/>
    <mergeCell ref="BE56:BF56"/>
    <mergeCell ref="BC57:BD57"/>
    <mergeCell ref="BE57:BF57"/>
    <mergeCell ref="BC55:BD55"/>
    <mergeCell ref="BC54:BD54"/>
    <mergeCell ref="AO54:BB54"/>
    <mergeCell ref="AO55:BB55"/>
    <mergeCell ref="AO56:BB56"/>
    <mergeCell ref="AO57:BB57"/>
    <mergeCell ref="BE58:BF58"/>
    <mergeCell ref="BC59:BD59"/>
    <mergeCell ref="BE59:BF59"/>
    <mergeCell ref="BC60:BD60"/>
    <mergeCell ref="BE60:BF60"/>
    <mergeCell ref="AO58:BB58"/>
    <mergeCell ref="AO59:BB59"/>
    <mergeCell ref="AO60:BB60"/>
    <mergeCell ref="BC58:BD58"/>
    <mergeCell ref="BE62:BF62"/>
    <mergeCell ref="AO70:AT70"/>
    <mergeCell ref="AU70:AV70"/>
    <mergeCell ref="AY66:BD66"/>
    <mergeCell ref="BE66:BF66"/>
    <mergeCell ref="AY67:BD67"/>
    <mergeCell ref="BE67:BF67"/>
    <mergeCell ref="AY68:BD68"/>
    <mergeCell ref="BE68:BF68"/>
    <mergeCell ref="AY69:BD69"/>
    <mergeCell ref="BE69:BF69"/>
    <mergeCell ref="AY70:BD70"/>
    <mergeCell ref="BE70:BF70"/>
    <mergeCell ref="AO63:AT63"/>
  </mergeCells>
  <conditionalFormatting sqref="X33">
    <cfRule type="cellIs" dxfId="33" priority="48" stopIfTrue="1" operator="equal">
      <formula>"Normallast"</formula>
    </cfRule>
  </conditionalFormatting>
  <conditionalFormatting sqref="AE65:AJ70 AY38:BD52 AE38:AJ62 K38:P70 BC54:BD60">
    <cfRule type="cellIs" dxfId="32" priority="46" operator="greaterThan">
      <formula>-1</formula>
    </cfRule>
  </conditionalFormatting>
  <conditionalFormatting sqref="X34">
    <cfRule type="containsText" dxfId="31" priority="43" stopIfTrue="1" operator="containsText" text="handlungsunfähig">
      <formula>NOT(ISERROR(SEARCH("handlungsunfähig",X34)))</formula>
    </cfRule>
    <cfRule type="containsText" dxfId="30" priority="44" stopIfTrue="1" operator="containsText" text="WM-4 auf Angriff, Abwehr und Fertigkeiten. B/2!">
      <formula>NOT(ISERROR(SEARCH("WM-4 auf Angriff, Abwehr und Fertigkeiten. B/2!",X34)))</formula>
    </cfRule>
  </conditionalFormatting>
  <conditionalFormatting sqref="N28:O35">
    <cfRule type="cellIs" dxfId="29" priority="42" stopIfTrue="1" operator="greaterThanOrEqual">
      <formula>0</formula>
    </cfRule>
  </conditionalFormatting>
  <conditionalFormatting sqref="W17:Z25">
    <cfRule type="cellIs" dxfId="28" priority="41" operator="greaterThan">
      <formula>-1</formula>
    </cfRule>
  </conditionalFormatting>
  <conditionalFormatting sqref="O39:P39">
    <cfRule type="expression" dxfId="27" priority="35">
      <formula>AND(ISBLANK($K$39),$O$39&lt;&gt;"")</formula>
    </cfRule>
  </conditionalFormatting>
  <conditionalFormatting sqref="O43:P43">
    <cfRule type="expression" dxfId="26" priority="34">
      <formula>AND(ISBLANK($K$43),$O$43&lt;&gt;"")</formula>
    </cfRule>
  </conditionalFormatting>
  <conditionalFormatting sqref="O44:P44">
    <cfRule type="expression" dxfId="25" priority="33">
      <formula>AND(ISBLANK($K$44),$O$44&lt;&gt;"")</formula>
    </cfRule>
  </conditionalFormatting>
  <conditionalFormatting sqref="O46:P46">
    <cfRule type="expression" dxfId="24" priority="32">
      <formula>AND(ISBLANK($K$46),$O$46&lt;&gt;"")</formula>
    </cfRule>
  </conditionalFormatting>
  <conditionalFormatting sqref="O47:P47">
    <cfRule type="expression" dxfId="23" priority="31">
      <formula>AND(ISBLANK($K$47),$O$47&lt;&gt;"")</formula>
    </cfRule>
  </conditionalFormatting>
  <conditionalFormatting sqref="O53:P53">
    <cfRule type="expression" dxfId="22" priority="29">
      <formula>AND(ISBLANK($K$53),$O$53&lt;&gt;"")</formula>
    </cfRule>
  </conditionalFormatting>
  <conditionalFormatting sqref="O56:P56">
    <cfRule type="expression" dxfId="21" priority="28">
      <formula>AND(ISBLANK($K$56),$O$56&lt;&gt;"")</formula>
    </cfRule>
  </conditionalFormatting>
  <conditionalFormatting sqref="O61:P61">
    <cfRule type="expression" dxfId="20" priority="27">
      <formula>AND(ISBLANK($K$61),$O$61&lt;&gt;"")</formula>
    </cfRule>
  </conditionalFormatting>
  <conditionalFormatting sqref="O62:P62">
    <cfRule type="expression" dxfId="19" priority="26">
      <formula>AND(ISBLANK($K$62),$O$62&lt;&gt;"")</formula>
    </cfRule>
  </conditionalFormatting>
  <conditionalFormatting sqref="O64:P64">
    <cfRule type="expression" dxfId="18" priority="25">
      <formula>AND(ISBLANK($K$64),$O$64&lt;&gt;"")</formula>
    </cfRule>
  </conditionalFormatting>
  <conditionalFormatting sqref="O67:P67">
    <cfRule type="expression" dxfId="17" priority="24">
      <formula>AND(ISBLANK($K$67),$O$67&lt;&gt;"")</formula>
    </cfRule>
  </conditionalFormatting>
  <conditionalFormatting sqref="AI38:AJ38">
    <cfRule type="expression" dxfId="16" priority="23">
      <formula>AND(ISBLANK($AE$38),$AI$38&lt;&gt;"")</formula>
    </cfRule>
  </conditionalFormatting>
  <conditionalFormatting sqref="AI39:AJ39">
    <cfRule type="expression" dxfId="15" priority="21">
      <formula>AND(ISBLANK($AE$39),$AI$39&lt;&gt;"")</formula>
    </cfRule>
  </conditionalFormatting>
  <conditionalFormatting sqref="AI40:AJ41">
    <cfRule type="expression" dxfId="14" priority="20">
      <formula>AND(ISBLANK($AE$41),$AI$41&lt;&gt;"")</formula>
    </cfRule>
  </conditionalFormatting>
  <conditionalFormatting sqref="AI43:AJ43">
    <cfRule type="expression" dxfId="13" priority="19">
      <formula>AND(ISBLANK($AE$43),$AI$43&lt;&gt;"")</formula>
    </cfRule>
  </conditionalFormatting>
  <conditionalFormatting sqref="AI48:AJ49">
    <cfRule type="expression" dxfId="12" priority="18">
      <formula>AND(ISBLANK($AE$48),$AI$48&lt;&gt;"")</formula>
    </cfRule>
  </conditionalFormatting>
  <conditionalFormatting sqref="AI58:AJ58">
    <cfRule type="expression" dxfId="11" priority="17">
      <formula>AND(ISBLANK($AE$58),$AI$58&lt;&gt;"")</formula>
    </cfRule>
  </conditionalFormatting>
  <conditionalFormatting sqref="AA16:AB16">
    <cfRule type="cellIs" dxfId="10" priority="16" operator="greaterThan">
      <formula>-1</formula>
    </cfRule>
  </conditionalFormatting>
  <conditionalFormatting sqref="AA17:AB25">
    <cfRule type="cellIs" dxfId="9" priority="14" operator="greaterThan">
      <formula>-1</formula>
    </cfRule>
    <cfRule type="cellIs" dxfId="8" priority="15" operator="greaterThan">
      <formula>-1</formula>
    </cfRule>
  </conditionalFormatting>
  <conditionalFormatting sqref="AI46:AJ46 AI42:AJ42 O67:P67 O59:P59 O54:P54 O50:P50">
    <cfRule type="cellIs" dxfId="7" priority="11" operator="equal">
      <formula>"Elf!"</formula>
    </cfRule>
  </conditionalFormatting>
  <conditionalFormatting sqref="BC28:BF35">
    <cfRule type="cellIs" dxfId="6" priority="9" operator="greaterThan">
      <formula>-1</formula>
    </cfRule>
  </conditionalFormatting>
  <conditionalFormatting sqref="O13:Q13 S13:U13 W13:Y13">
    <cfRule type="cellIs" dxfId="5" priority="8" operator="greaterThan">
      <formula>-1</formula>
    </cfRule>
  </conditionalFormatting>
  <conditionalFormatting sqref="K17:P25">
    <cfRule type="expression" dxfId="4" priority="38">
      <formula>OR(St&lt;VLOOKUP(A17,Waffenliste,3,FALSE),Gs&lt;VLOOKUP(A17,Waffenliste,4,FALSE),Gw&lt;VLOOKUP(A17,Waffenliste,5,FALSE),AND(VLOOKUP(A17,Waffenliste,11,FALSE)="Nein",OR(Rasse="Berggnom",Rasse="Waldgnom",Rasse="Halbling")))</formula>
    </cfRule>
  </conditionalFormatting>
  <conditionalFormatting sqref="A29:K35">
    <cfRule type="expression" dxfId="3" priority="5">
      <formula>OR(St&lt;VLOOKUP(A29,Waffenliste,3,FALSE),Gs&lt;VLOOKUP(A29,Waffenliste,4,FALSE),Gw&lt;VLOOKUP(A29,Waffenliste,5,FALSE),AND(VLOOKUP(A29,Waffenliste,11,FALSE)="Nein",OR(Rasse="Berggnom",Rasse="Waldgnom",Rasse="Halbling")))</formula>
    </cfRule>
  </conditionalFormatting>
  <conditionalFormatting sqref="L28:M35">
    <cfRule type="cellIs" dxfId="2" priority="1" operator="lessThan">
      <formula>0</formula>
    </cfRule>
  </conditionalFormatting>
  <dataValidations count="4">
    <dataValidation type="list" showInputMessage="1" showErrorMessage="1" errorTitle="Fehler" error="Bitte Rüstungsklasse aus der Dropdownliste auswählen!" promptTitle="Dropdown-Liste" prompt="Bitte Rüstungsklasse auswählen!" sqref="AY9:BA9">
      <formula1>RKListe</formula1>
    </dataValidation>
    <dataValidation type="list" allowBlank="1" showInputMessage="1" showErrorMessage="1" errorTitle="Fehler" error="Bitte Waffe aus der Dropdownliste auswählen!" promptTitle="Dropdown-Liste" prompt="Bitte Waffe auswählen!" sqref="A17:J25">
      <formula1>Waffen</formula1>
    </dataValidation>
    <dataValidation type="list" allowBlank="1" showInputMessage="1" showErrorMessage="1" errorTitle="Fehler" error="Bitte Verteidigungswaffe aus der Dropdownliste auswählen!" promptTitle="Dropdown-Liste" prompt="Bitte Verteidigungswaffe auswählen!" sqref="A29:K35">
      <formula1>Verteidigungswaffen</formula1>
    </dataValidation>
    <dataValidation type="list" allowBlank="1" showInputMessage="1" showErrorMessage="1" errorTitle="Fehler" error="Bitte Waffengruppe aus der Dropdownliste auswählen!" promptTitle="Dropdown-Liste" prompt="Bitte Waffengruppe auswählen!" sqref="AO54:AO60">
      <formula1>Waffengruppe</formula1>
    </dataValidation>
  </dataValidations>
  <printOptions horizontalCentered="1"/>
  <pageMargins left="0.19685039370078741" right="0.19685039370078741" top="0.19685039370078741" bottom="0.19685039370078741" header="0.51181102362204722" footer="0.51181102362204722"/>
  <pageSetup paperSize="9" firstPageNumber="0" orientation="portrait" r:id="rId1"/>
  <headerFooter alignWithMargins="0"/>
  <ignoredErrors>
    <ignoredError sqref="BC32"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enableFormatConditionsCalculation="0">
    <tabColor theme="6" tint="0.39997558519241921"/>
    <pageSetUpPr fitToPage="1"/>
  </sheetPr>
  <dimension ref="A1:BF79"/>
  <sheetViews>
    <sheetView showGridLines="0" zoomScale="125" zoomScaleNormal="125" workbookViewId="0">
      <selection activeCell="A4" sqref="A4:C4"/>
    </sheetView>
  </sheetViews>
  <sheetFormatPr baseColWidth="10" defaultColWidth="1.7109375" defaultRowHeight="12.75" customHeight="1" x14ac:dyDescent="0.25"/>
  <cols>
    <col min="1" max="16384" width="1.7109375" style="35"/>
  </cols>
  <sheetData>
    <row r="1" spans="1:58" s="34" customFormat="1" ht="15.75" customHeight="1" x14ac:dyDescent="0.25">
      <c r="A1" s="949" t="s">
        <v>181</v>
      </c>
      <c r="B1" s="949"/>
      <c r="C1" s="949"/>
      <c r="D1" s="949"/>
      <c r="E1" s="950" t="str">
        <f>IF(ISBLANK(Name),"",Name)</f>
        <v/>
      </c>
      <c r="F1" s="950"/>
      <c r="G1" s="950"/>
      <c r="H1" s="950"/>
      <c r="I1" s="950"/>
      <c r="J1" s="950"/>
      <c r="K1" s="950"/>
      <c r="L1" s="950"/>
      <c r="M1" s="950"/>
      <c r="N1" s="950"/>
      <c r="O1" s="950"/>
      <c r="P1" s="950"/>
      <c r="Q1" s="950"/>
      <c r="R1" s="950"/>
      <c r="S1" s="950"/>
      <c r="T1" s="29"/>
      <c r="U1" s="30"/>
      <c r="V1" s="30"/>
      <c r="W1" s="30"/>
      <c r="X1" s="30"/>
      <c r="Y1" s="30"/>
      <c r="Z1" s="30"/>
      <c r="AA1" s="30"/>
      <c r="AB1" s="30"/>
      <c r="AC1" s="30"/>
      <c r="AD1" s="30"/>
      <c r="AE1" s="30"/>
      <c r="AF1" s="30"/>
      <c r="AG1" s="30"/>
      <c r="AH1" s="30"/>
      <c r="AI1" s="30"/>
      <c r="AJ1" s="30"/>
      <c r="AK1" s="30"/>
      <c r="AL1" s="30"/>
      <c r="AM1" s="949" t="s">
        <v>2</v>
      </c>
      <c r="AN1" s="949"/>
      <c r="AO1" s="949"/>
      <c r="AP1" s="949"/>
      <c r="AQ1" s="951"/>
      <c r="AR1" s="952" t="str">
        <f>IF(ISBLANK(Spieler),"",Spieler)</f>
        <v/>
      </c>
      <c r="AS1" s="953"/>
      <c r="AT1" s="953"/>
      <c r="AU1" s="953"/>
      <c r="AV1" s="953"/>
      <c r="AW1" s="953"/>
      <c r="AX1" s="953"/>
      <c r="AY1" s="953"/>
      <c r="AZ1" s="953"/>
      <c r="BA1" s="953"/>
      <c r="BB1" s="953"/>
      <c r="BC1" s="953"/>
      <c r="BD1" s="953"/>
      <c r="BE1" s="953"/>
      <c r="BF1" s="954"/>
    </row>
    <row r="2" spans="1:58" ht="4.5" customHeight="1" thickBot="1" x14ac:dyDescent="0.3">
      <c r="A2" s="28"/>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row>
    <row r="3" spans="1:58" ht="12" customHeight="1" thickBot="1" x14ac:dyDescent="0.3">
      <c r="A3" s="933" t="s">
        <v>150</v>
      </c>
      <c r="B3" s="933"/>
      <c r="C3" s="933"/>
      <c r="D3" s="57"/>
      <c r="E3" s="934" t="s">
        <v>151</v>
      </c>
      <c r="F3" s="934"/>
      <c r="G3" s="934"/>
      <c r="H3" s="934"/>
      <c r="I3" s="934"/>
      <c r="J3" s="934"/>
      <c r="K3" s="934"/>
      <c r="L3" s="934"/>
      <c r="M3" s="934"/>
      <c r="N3" s="934"/>
      <c r="O3" s="934"/>
      <c r="P3" s="934"/>
      <c r="Q3" s="934"/>
      <c r="R3" s="934"/>
      <c r="S3" s="934"/>
      <c r="T3" s="934"/>
      <c r="U3" s="934"/>
      <c r="V3" s="934"/>
      <c r="W3" s="934"/>
      <c r="X3" s="934"/>
      <c r="Y3" s="934"/>
      <c r="Z3" s="934"/>
      <c r="AA3" s="934"/>
      <c r="AB3" s="934"/>
      <c r="AC3" s="934"/>
      <c r="AD3" s="934"/>
      <c r="AE3" s="934"/>
      <c r="AF3" s="934"/>
      <c r="AG3" s="934"/>
      <c r="AH3" s="934"/>
      <c r="AI3" s="934"/>
      <c r="AJ3" s="934"/>
      <c r="AK3" s="57"/>
      <c r="AL3" s="935" t="s">
        <v>152</v>
      </c>
      <c r="AM3" s="935"/>
      <c r="AN3" s="935"/>
      <c r="AO3" s="935"/>
      <c r="AP3" s="935"/>
      <c r="AQ3" s="935"/>
      <c r="AR3" s="935"/>
      <c r="AS3" s="935"/>
      <c r="AT3" s="935"/>
      <c r="AU3" s="935"/>
      <c r="AV3" s="935"/>
      <c r="AW3" s="935"/>
      <c r="AX3" s="935"/>
      <c r="AY3" s="935"/>
      <c r="AZ3" s="935"/>
      <c r="BA3" s="57"/>
      <c r="BB3" s="925" t="s">
        <v>6</v>
      </c>
      <c r="BC3" s="925"/>
      <c r="BD3" s="925"/>
      <c r="BE3" s="925"/>
      <c r="BF3" s="925"/>
    </row>
    <row r="4" spans="1:58" ht="12" customHeight="1" x14ac:dyDescent="0.25">
      <c r="A4" s="936"/>
      <c r="B4" s="936"/>
      <c r="C4" s="936"/>
      <c r="D4" s="36"/>
      <c r="E4" s="937"/>
      <c r="F4" s="937"/>
      <c r="G4" s="937"/>
      <c r="H4" s="937"/>
      <c r="I4" s="937"/>
      <c r="J4" s="937"/>
      <c r="K4" s="937"/>
      <c r="L4" s="937"/>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37"/>
      <c r="AL4" s="938"/>
      <c r="AM4" s="938"/>
      <c r="AN4" s="938"/>
      <c r="AO4" s="938"/>
      <c r="AP4" s="938"/>
      <c r="AQ4" s="938"/>
      <c r="AR4" s="938"/>
      <c r="AS4" s="938"/>
      <c r="AT4" s="938"/>
      <c r="AU4" s="938"/>
      <c r="AV4" s="938"/>
      <c r="AW4" s="938"/>
      <c r="AX4" s="938"/>
      <c r="AY4" s="938"/>
      <c r="AZ4" s="938"/>
      <c r="BA4" s="37"/>
      <c r="BB4" s="939"/>
      <c r="BC4" s="939"/>
      <c r="BD4" s="939"/>
      <c r="BE4" s="939"/>
      <c r="BF4" s="939"/>
    </row>
    <row r="5" spans="1:58" ht="12" customHeight="1" x14ac:dyDescent="0.25">
      <c r="A5" s="914"/>
      <c r="B5" s="914"/>
      <c r="C5" s="914"/>
      <c r="D5" s="36"/>
      <c r="E5" s="944"/>
      <c r="F5" s="944"/>
      <c r="G5" s="944"/>
      <c r="H5" s="944"/>
      <c r="I5" s="944"/>
      <c r="J5" s="944"/>
      <c r="K5" s="944"/>
      <c r="L5" s="944"/>
      <c r="M5" s="944"/>
      <c r="N5" s="944"/>
      <c r="O5" s="944"/>
      <c r="P5" s="944"/>
      <c r="Q5" s="944"/>
      <c r="R5" s="944"/>
      <c r="S5" s="944"/>
      <c r="T5" s="944"/>
      <c r="U5" s="944"/>
      <c r="V5" s="944"/>
      <c r="W5" s="944"/>
      <c r="X5" s="944"/>
      <c r="Y5" s="944"/>
      <c r="Z5" s="944"/>
      <c r="AA5" s="944"/>
      <c r="AB5" s="944"/>
      <c r="AC5" s="944"/>
      <c r="AD5" s="944"/>
      <c r="AE5" s="944"/>
      <c r="AF5" s="944"/>
      <c r="AG5" s="944"/>
      <c r="AH5" s="944"/>
      <c r="AI5" s="944"/>
      <c r="AJ5" s="944"/>
      <c r="AK5" s="37"/>
      <c r="AL5" s="916"/>
      <c r="AM5" s="916"/>
      <c r="AN5" s="916"/>
      <c r="AO5" s="916"/>
      <c r="AP5" s="916"/>
      <c r="AQ5" s="916"/>
      <c r="AR5" s="916"/>
      <c r="AS5" s="916"/>
      <c r="AT5" s="916"/>
      <c r="AU5" s="916"/>
      <c r="AV5" s="916"/>
      <c r="AW5" s="916"/>
      <c r="AX5" s="916"/>
      <c r="AY5" s="916"/>
      <c r="AZ5" s="916"/>
      <c r="BA5" s="37"/>
      <c r="BB5" s="917"/>
      <c r="BC5" s="917"/>
      <c r="BD5" s="917"/>
      <c r="BE5" s="917"/>
      <c r="BF5" s="917"/>
    </row>
    <row r="6" spans="1:58" ht="12" customHeight="1" x14ac:dyDescent="0.25">
      <c r="A6" s="926"/>
      <c r="B6" s="926"/>
      <c r="C6" s="926"/>
      <c r="D6" s="36"/>
      <c r="E6" s="945"/>
      <c r="F6" s="945"/>
      <c r="G6" s="945"/>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37"/>
      <c r="AL6" s="912"/>
      <c r="AM6" s="912"/>
      <c r="AN6" s="912"/>
      <c r="AO6" s="912"/>
      <c r="AP6" s="912"/>
      <c r="AQ6" s="912"/>
      <c r="AR6" s="912"/>
      <c r="AS6" s="912"/>
      <c r="AT6" s="912"/>
      <c r="AU6" s="912"/>
      <c r="AV6" s="912"/>
      <c r="AW6" s="912"/>
      <c r="AX6" s="912"/>
      <c r="AY6" s="912"/>
      <c r="AZ6" s="912"/>
      <c r="BA6" s="37"/>
      <c r="BB6" s="913"/>
      <c r="BC6" s="913"/>
      <c r="BD6" s="913"/>
      <c r="BE6" s="913"/>
      <c r="BF6" s="913"/>
    </row>
    <row r="7" spans="1:58" ht="12" customHeight="1" x14ac:dyDescent="0.25">
      <c r="A7" s="914"/>
      <c r="B7" s="914"/>
      <c r="C7" s="914"/>
      <c r="D7" s="36"/>
      <c r="E7" s="944"/>
      <c r="F7" s="944"/>
      <c r="G7" s="944"/>
      <c r="H7" s="944"/>
      <c r="I7" s="944"/>
      <c r="J7" s="944"/>
      <c r="K7" s="944"/>
      <c r="L7" s="944"/>
      <c r="M7" s="944"/>
      <c r="N7" s="944"/>
      <c r="O7" s="944"/>
      <c r="P7" s="944"/>
      <c r="Q7" s="944"/>
      <c r="R7" s="944"/>
      <c r="S7" s="944"/>
      <c r="T7" s="944"/>
      <c r="U7" s="944"/>
      <c r="V7" s="944"/>
      <c r="W7" s="944"/>
      <c r="X7" s="944"/>
      <c r="Y7" s="944"/>
      <c r="Z7" s="944"/>
      <c r="AA7" s="944"/>
      <c r="AB7" s="944"/>
      <c r="AC7" s="944"/>
      <c r="AD7" s="944"/>
      <c r="AE7" s="944"/>
      <c r="AF7" s="944"/>
      <c r="AG7" s="944"/>
      <c r="AH7" s="944"/>
      <c r="AI7" s="944"/>
      <c r="AJ7" s="944"/>
      <c r="AK7" s="37"/>
      <c r="AL7" s="916"/>
      <c r="AM7" s="916"/>
      <c r="AN7" s="916"/>
      <c r="AO7" s="916"/>
      <c r="AP7" s="916"/>
      <c r="AQ7" s="916"/>
      <c r="AR7" s="916"/>
      <c r="AS7" s="916"/>
      <c r="AT7" s="916"/>
      <c r="AU7" s="916"/>
      <c r="AV7" s="916"/>
      <c r="AW7" s="916"/>
      <c r="AX7" s="916"/>
      <c r="AY7" s="916"/>
      <c r="AZ7" s="916"/>
      <c r="BA7" s="37"/>
      <c r="BB7" s="917"/>
      <c r="BC7" s="917"/>
      <c r="BD7" s="917"/>
      <c r="BE7" s="917"/>
      <c r="BF7" s="917"/>
    </row>
    <row r="8" spans="1:58" ht="12" customHeight="1" x14ac:dyDescent="0.25">
      <c r="A8" s="926"/>
      <c r="B8" s="926"/>
      <c r="C8" s="926"/>
      <c r="D8" s="36"/>
      <c r="E8" s="945"/>
      <c r="F8" s="945"/>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37"/>
      <c r="AL8" s="912"/>
      <c r="AM8" s="912"/>
      <c r="AN8" s="912"/>
      <c r="AO8" s="912"/>
      <c r="AP8" s="912"/>
      <c r="AQ8" s="912"/>
      <c r="AR8" s="912"/>
      <c r="AS8" s="912"/>
      <c r="AT8" s="912"/>
      <c r="AU8" s="912"/>
      <c r="AV8" s="912"/>
      <c r="AW8" s="912"/>
      <c r="AX8" s="912"/>
      <c r="AY8" s="912"/>
      <c r="AZ8" s="912"/>
      <c r="BA8" s="37"/>
      <c r="BB8" s="913"/>
      <c r="BC8" s="913"/>
      <c r="BD8" s="913"/>
      <c r="BE8" s="913"/>
      <c r="BF8" s="913"/>
    </row>
    <row r="9" spans="1:58" ht="12" customHeight="1" x14ac:dyDescent="0.25">
      <c r="A9" s="914"/>
      <c r="B9" s="914"/>
      <c r="C9" s="914"/>
      <c r="D9" s="36"/>
      <c r="E9" s="944"/>
      <c r="F9" s="944"/>
      <c r="G9" s="944"/>
      <c r="H9" s="944"/>
      <c r="I9" s="944"/>
      <c r="J9" s="944"/>
      <c r="K9" s="944"/>
      <c r="L9" s="944"/>
      <c r="M9" s="944"/>
      <c r="N9" s="944"/>
      <c r="O9" s="944"/>
      <c r="P9" s="944"/>
      <c r="Q9" s="944"/>
      <c r="R9" s="944"/>
      <c r="S9" s="944"/>
      <c r="T9" s="944"/>
      <c r="U9" s="944"/>
      <c r="V9" s="944"/>
      <c r="W9" s="944"/>
      <c r="X9" s="944"/>
      <c r="Y9" s="944"/>
      <c r="Z9" s="944"/>
      <c r="AA9" s="944"/>
      <c r="AB9" s="944"/>
      <c r="AC9" s="944"/>
      <c r="AD9" s="944"/>
      <c r="AE9" s="944"/>
      <c r="AF9" s="944"/>
      <c r="AG9" s="944"/>
      <c r="AH9" s="944"/>
      <c r="AI9" s="944"/>
      <c r="AJ9" s="944"/>
      <c r="AK9" s="37"/>
      <c r="AL9" s="916"/>
      <c r="AM9" s="916"/>
      <c r="AN9" s="916"/>
      <c r="AO9" s="916"/>
      <c r="AP9" s="916"/>
      <c r="AQ9" s="916"/>
      <c r="AR9" s="916"/>
      <c r="AS9" s="916"/>
      <c r="AT9" s="916"/>
      <c r="AU9" s="916"/>
      <c r="AV9" s="916"/>
      <c r="AW9" s="916"/>
      <c r="AX9" s="916"/>
      <c r="AY9" s="916"/>
      <c r="AZ9" s="916"/>
      <c r="BA9" s="37"/>
      <c r="BB9" s="917"/>
      <c r="BC9" s="917"/>
      <c r="BD9" s="917"/>
      <c r="BE9" s="917"/>
      <c r="BF9" s="917"/>
    </row>
    <row r="10" spans="1:58" ht="12" customHeight="1" thickBot="1" x14ac:dyDescent="0.3">
      <c r="A10" s="918"/>
      <c r="B10" s="918"/>
      <c r="C10" s="918"/>
      <c r="D10" s="38"/>
      <c r="E10" s="948"/>
      <c r="F10" s="948"/>
      <c r="G10" s="948"/>
      <c r="H10" s="948"/>
      <c r="I10" s="948"/>
      <c r="J10" s="948"/>
      <c r="K10" s="948"/>
      <c r="L10" s="948"/>
      <c r="M10" s="948"/>
      <c r="N10" s="948"/>
      <c r="O10" s="948"/>
      <c r="P10" s="948"/>
      <c r="Q10" s="948"/>
      <c r="R10" s="948"/>
      <c r="S10" s="948"/>
      <c r="T10" s="948"/>
      <c r="U10" s="948"/>
      <c r="V10" s="948"/>
      <c r="W10" s="948"/>
      <c r="X10" s="948"/>
      <c r="Y10" s="948"/>
      <c r="Z10" s="948"/>
      <c r="AA10" s="948"/>
      <c r="AB10" s="948"/>
      <c r="AC10" s="948"/>
      <c r="AD10" s="948"/>
      <c r="AE10" s="948"/>
      <c r="AF10" s="948"/>
      <c r="AG10" s="948"/>
      <c r="AH10" s="948"/>
      <c r="AI10" s="948"/>
      <c r="AJ10" s="948"/>
      <c r="AK10" s="39"/>
      <c r="AL10" s="920"/>
      <c r="AM10" s="920"/>
      <c r="AN10" s="920"/>
      <c r="AO10" s="920"/>
      <c r="AP10" s="920"/>
      <c r="AQ10" s="920"/>
      <c r="AR10" s="920"/>
      <c r="AS10" s="920"/>
      <c r="AT10" s="920"/>
      <c r="AU10" s="920"/>
      <c r="AV10" s="920"/>
      <c r="AW10" s="920"/>
      <c r="AX10" s="920"/>
      <c r="AY10" s="920"/>
      <c r="AZ10" s="920"/>
      <c r="BA10" s="39"/>
      <c r="BB10" s="921"/>
      <c r="BC10" s="921"/>
      <c r="BD10" s="921"/>
      <c r="BE10" s="921"/>
      <c r="BF10" s="921"/>
    </row>
    <row r="11" spans="1:58" ht="4.5" customHeight="1" thickBot="1" x14ac:dyDescent="0.3">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40"/>
      <c r="BC11" s="40"/>
      <c r="BD11" s="40"/>
      <c r="BE11" s="40"/>
      <c r="BF11" s="40"/>
    </row>
    <row r="12" spans="1:58" s="41" customFormat="1" ht="12" customHeight="1" thickBot="1" x14ac:dyDescent="0.3">
      <c r="A12" s="933" t="s">
        <v>150</v>
      </c>
      <c r="B12" s="933"/>
      <c r="C12" s="933"/>
      <c r="D12" s="57"/>
      <c r="E12" s="934" t="s">
        <v>153</v>
      </c>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57"/>
      <c r="AL12" s="935" t="s">
        <v>152</v>
      </c>
      <c r="AM12" s="935"/>
      <c r="AN12" s="935"/>
      <c r="AO12" s="935"/>
      <c r="AP12" s="935"/>
      <c r="AQ12" s="935"/>
      <c r="AR12" s="935"/>
      <c r="AS12" s="935"/>
      <c r="AT12" s="935"/>
      <c r="AU12" s="935"/>
      <c r="AV12" s="935"/>
      <c r="AW12" s="935"/>
      <c r="AX12" s="935"/>
      <c r="AY12" s="935"/>
      <c r="AZ12" s="935"/>
      <c r="BA12" s="57"/>
      <c r="BB12" s="925" t="s">
        <v>6</v>
      </c>
      <c r="BC12" s="925"/>
      <c r="BD12" s="925"/>
      <c r="BE12" s="925"/>
      <c r="BF12" s="925"/>
    </row>
    <row r="13" spans="1:58" ht="12" customHeight="1" x14ac:dyDescent="0.25">
      <c r="A13" s="947"/>
      <c r="B13" s="947"/>
      <c r="C13" s="947"/>
      <c r="D13" s="36"/>
      <c r="E13" s="945"/>
      <c r="F13" s="945"/>
      <c r="G13" s="945"/>
      <c r="H13" s="945"/>
      <c r="I13" s="945"/>
      <c r="J13" s="945"/>
      <c r="K13" s="945"/>
      <c r="L13" s="945"/>
      <c r="M13" s="945"/>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37"/>
      <c r="AL13" s="912"/>
      <c r="AM13" s="912"/>
      <c r="AN13" s="912"/>
      <c r="AO13" s="912"/>
      <c r="AP13" s="912"/>
      <c r="AQ13" s="912"/>
      <c r="AR13" s="912"/>
      <c r="AS13" s="912"/>
      <c r="AT13" s="912"/>
      <c r="AU13" s="912"/>
      <c r="AV13" s="912"/>
      <c r="AW13" s="912"/>
      <c r="AX13" s="912"/>
      <c r="AY13" s="912"/>
      <c r="AZ13" s="912"/>
      <c r="BA13" s="37"/>
      <c r="BB13" s="913"/>
      <c r="BC13" s="913"/>
      <c r="BD13" s="913"/>
      <c r="BE13" s="913"/>
      <c r="BF13" s="913"/>
    </row>
    <row r="14" spans="1:58" ht="12" customHeight="1" x14ac:dyDescent="0.25">
      <c r="A14" s="914"/>
      <c r="B14" s="914"/>
      <c r="C14" s="914"/>
      <c r="D14" s="36"/>
      <c r="E14" s="944"/>
      <c r="F14" s="944"/>
      <c r="G14" s="944"/>
      <c r="H14" s="944"/>
      <c r="I14" s="944"/>
      <c r="J14" s="944"/>
      <c r="K14" s="944"/>
      <c r="L14" s="944"/>
      <c r="M14" s="944"/>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37"/>
      <c r="AL14" s="916"/>
      <c r="AM14" s="916"/>
      <c r="AN14" s="916"/>
      <c r="AO14" s="916"/>
      <c r="AP14" s="916"/>
      <c r="AQ14" s="916"/>
      <c r="AR14" s="916"/>
      <c r="AS14" s="916"/>
      <c r="AT14" s="916"/>
      <c r="AU14" s="916"/>
      <c r="AV14" s="916"/>
      <c r="AW14" s="916"/>
      <c r="AX14" s="916"/>
      <c r="AY14" s="916"/>
      <c r="AZ14" s="916"/>
      <c r="BA14" s="37"/>
      <c r="BB14" s="917"/>
      <c r="BC14" s="917"/>
      <c r="BD14" s="917"/>
      <c r="BE14" s="917"/>
      <c r="BF14" s="917"/>
    </row>
    <row r="15" spans="1:58" ht="12" customHeight="1" x14ac:dyDescent="0.25">
      <c r="A15" s="926"/>
      <c r="B15" s="926"/>
      <c r="C15" s="926"/>
      <c r="D15" s="36"/>
      <c r="E15" s="945"/>
      <c r="F15" s="945"/>
      <c r="G15" s="945"/>
      <c r="H15" s="945"/>
      <c r="I15" s="945"/>
      <c r="J15" s="945"/>
      <c r="K15" s="945"/>
      <c r="L15" s="945"/>
      <c r="M15" s="945"/>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37"/>
      <c r="AL15" s="912"/>
      <c r="AM15" s="912"/>
      <c r="AN15" s="912"/>
      <c r="AO15" s="912"/>
      <c r="AP15" s="912"/>
      <c r="AQ15" s="912"/>
      <c r="AR15" s="912"/>
      <c r="AS15" s="912"/>
      <c r="AT15" s="912"/>
      <c r="AU15" s="912"/>
      <c r="AV15" s="912"/>
      <c r="AW15" s="912"/>
      <c r="AX15" s="912"/>
      <c r="AY15" s="912"/>
      <c r="AZ15" s="912"/>
      <c r="BA15" s="37"/>
      <c r="BB15" s="913"/>
      <c r="BC15" s="913"/>
      <c r="BD15" s="913"/>
      <c r="BE15" s="913"/>
      <c r="BF15" s="913"/>
    </row>
    <row r="16" spans="1:58" ht="12" customHeight="1" x14ac:dyDescent="0.25">
      <c r="A16" s="914"/>
      <c r="B16" s="914"/>
      <c r="C16" s="914"/>
      <c r="D16" s="36"/>
      <c r="E16" s="944"/>
      <c r="F16" s="944"/>
      <c r="G16" s="944"/>
      <c r="H16" s="944"/>
      <c r="I16" s="944"/>
      <c r="J16" s="944"/>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37"/>
      <c r="AL16" s="916"/>
      <c r="AM16" s="916"/>
      <c r="AN16" s="916"/>
      <c r="AO16" s="916"/>
      <c r="AP16" s="916"/>
      <c r="AQ16" s="916"/>
      <c r="AR16" s="916"/>
      <c r="AS16" s="916"/>
      <c r="AT16" s="916"/>
      <c r="AU16" s="916"/>
      <c r="AV16" s="916"/>
      <c r="AW16" s="916"/>
      <c r="AX16" s="916"/>
      <c r="AY16" s="916"/>
      <c r="AZ16" s="916"/>
      <c r="BA16" s="37"/>
      <c r="BB16" s="917"/>
      <c r="BC16" s="917"/>
      <c r="BD16" s="917"/>
      <c r="BE16" s="917"/>
      <c r="BF16" s="917"/>
    </row>
    <row r="17" spans="1:58" ht="12" customHeight="1" x14ac:dyDescent="0.25">
      <c r="A17" s="926"/>
      <c r="B17" s="926"/>
      <c r="C17" s="926"/>
      <c r="D17" s="36"/>
      <c r="E17" s="945"/>
      <c r="F17" s="945"/>
      <c r="G17" s="945"/>
      <c r="H17" s="945"/>
      <c r="I17" s="945"/>
      <c r="J17" s="945"/>
      <c r="K17" s="945"/>
      <c r="L17" s="945"/>
      <c r="M17" s="945"/>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37"/>
      <c r="AL17" s="912"/>
      <c r="AM17" s="912"/>
      <c r="AN17" s="912"/>
      <c r="AO17" s="912"/>
      <c r="AP17" s="912"/>
      <c r="AQ17" s="912"/>
      <c r="AR17" s="912"/>
      <c r="AS17" s="912"/>
      <c r="AT17" s="912"/>
      <c r="AU17" s="912"/>
      <c r="AV17" s="912"/>
      <c r="AW17" s="912"/>
      <c r="AX17" s="912"/>
      <c r="AY17" s="912"/>
      <c r="AZ17" s="912"/>
      <c r="BA17" s="37"/>
      <c r="BB17" s="913"/>
      <c r="BC17" s="913"/>
      <c r="BD17" s="913"/>
      <c r="BE17" s="913"/>
      <c r="BF17" s="913"/>
    </row>
    <row r="18" spans="1:58" ht="12" customHeight="1" thickBot="1" x14ac:dyDescent="0.3">
      <c r="A18" s="940"/>
      <c r="B18" s="940"/>
      <c r="C18" s="940"/>
      <c r="D18" s="38"/>
      <c r="E18" s="946"/>
      <c r="F18" s="946"/>
      <c r="G18" s="946"/>
      <c r="H18" s="946"/>
      <c r="I18" s="946"/>
      <c r="J18" s="946"/>
      <c r="K18" s="946"/>
      <c r="L18" s="946"/>
      <c r="M18" s="946"/>
      <c r="N18" s="946"/>
      <c r="O18" s="946"/>
      <c r="P18" s="946"/>
      <c r="Q18" s="946"/>
      <c r="R18" s="946"/>
      <c r="S18" s="946"/>
      <c r="T18" s="946"/>
      <c r="U18" s="946"/>
      <c r="V18" s="946"/>
      <c r="W18" s="946"/>
      <c r="X18" s="946"/>
      <c r="Y18" s="946"/>
      <c r="Z18" s="946"/>
      <c r="AA18" s="946"/>
      <c r="AB18" s="946"/>
      <c r="AC18" s="946"/>
      <c r="AD18" s="946"/>
      <c r="AE18" s="946"/>
      <c r="AF18" s="946"/>
      <c r="AG18" s="946"/>
      <c r="AH18" s="946"/>
      <c r="AI18" s="946"/>
      <c r="AJ18" s="946"/>
      <c r="AK18" s="39"/>
      <c r="AL18" s="942"/>
      <c r="AM18" s="942"/>
      <c r="AN18" s="942"/>
      <c r="AO18" s="942"/>
      <c r="AP18" s="942"/>
      <c r="AQ18" s="942"/>
      <c r="AR18" s="942"/>
      <c r="AS18" s="942"/>
      <c r="AT18" s="942"/>
      <c r="AU18" s="942"/>
      <c r="AV18" s="942"/>
      <c r="AW18" s="942"/>
      <c r="AX18" s="942"/>
      <c r="AY18" s="942"/>
      <c r="AZ18" s="942"/>
      <c r="BA18" s="39"/>
      <c r="BB18" s="943"/>
      <c r="BC18" s="943"/>
      <c r="BD18" s="943"/>
      <c r="BE18" s="943"/>
      <c r="BF18" s="943"/>
    </row>
    <row r="19" spans="1:58" ht="4.5" customHeight="1" thickBot="1" x14ac:dyDescent="0.3">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40"/>
      <c r="BC19" s="40"/>
      <c r="BD19" s="40"/>
      <c r="BE19" s="40"/>
      <c r="BF19" s="40"/>
    </row>
    <row r="20" spans="1:58" s="41" customFormat="1" ht="12" customHeight="1" thickBot="1" x14ac:dyDescent="0.3">
      <c r="A20" s="933" t="s">
        <v>150</v>
      </c>
      <c r="B20" s="933"/>
      <c r="C20" s="933"/>
      <c r="D20" s="57"/>
      <c r="E20" s="934" t="s">
        <v>154</v>
      </c>
      <c r="F20" s="934"/>
      <c r="G20" s="934"/>
      <c r="H20" s="934"/>
      <c r="I20" s="934"/>
      <c r="J20" s="934"/>
      <c r="K20" s="934"/>
      <c r="L20" s="934"/>
      <c r="M20" s="934"/>
      <c r="N20" s="934"/>
      <c r="O20" s="934"/>
      <c r="P20" s="934"/>
      <c r="Q20" s="934"/>
      <c r="R20" s="934"/>
      <c r="S20" s="934"/>
      <c r="T20" s="934"/>
      <c r="U20" s="934"/>
      <c r="V20" s="934"/>
      <c r="W20" s="934"/>
      <c r="X20" s="934"/>
      <c r="Y20" s="934"/>
      <c r="Z20" s="934"/>
      <c r="AA20" s="934"/>
      <c r="AB20" s="934"/>
      <c r="AC20" s="934"/>
      <c r="AD20" s="934"/>
      <c r="AE20" s="934"/>
      <c r="AF20" s="934"/>
      <c r="AG20" s="934"/>
      <c r="AH20" s="934"/>
      <c r="AI20" s="934"/>
      <c r="AJ20" s="934"/>
      <c r="AK20" s="57"/>
      <c r="AL20" s="935" t="s">
        <v>152</v>
      </c>
      <c r="AM20" s="935"/>
      <c r="AN20" s="935"/>
      <c r="AO20" s="935"/>
      <c r="AP20" s="935"/>
      <c r="AQ20" s="935"/>
      <c r="AR20" s="935"/>
      <c r="AS20" s="935"/>
      <c r="AT20" s="935"/>
      <c r="AU20" s="935"/>
      <c r="AV20" s="935"/>
      <c r="AW20" s="935"/>
      <c r="AX20" s="935"/>
      <c r="AY20" s="935"/>
      <c r="AZ20" s="935"/>
      <c r="BA20" s="57"/>
      <c r="BB20" s="925" t="s">
        <v>6</v>
      </c>
      <c r="BC20" s="925"/>
      <c r="BD20" s="925"/>
      <c r="BE20" s="925"/>
      <c r="BF20" s="925"/>
    </row>
    <row r="21" spans="1:58" ht="12" customHeight="1" x14ac:dyDescent="0.25">
      <c r="A21" s="926"/>
      <c r="B21" s="926"/>
      <c r="C21" s="926"/>
      <c r="D21" s="36"/>
      <c r="E21" s="911" t="s">
        <v>155</v>
      </c>
      <c r="F21" s="911"/>
      <c r="G21" s="911"/>
      <c r="H21" s="911"/>
      <c r="I21" s="911"/>
      <c r="J21" s="911"/>
      <c r="K21" s="911"/>
      <c r="L21" s="911"/>
      <c r="M21" s="911"/>
      <c r="N21" s="911"/>
      <c r="O21" s="911"/>
      <c r="P21" s="911"/>
      <c r="Q21" s="911"/>
      <c r="R21" s="911"/>
      <c r="S21" s="911"/>
      <c r="T21" s="911"/>
      <c r="U21" s="911"/>
      <c r="V21" s="911"/>
      <c r="W21" s="911"/>
      <c r="X21" s="911"/>
      <c r="Y21" s="911"/>
      <c r="Z21" s="911"/>
      <c r="AA21" s="911"/>
      <c r="AB21" s="911"/>
      <c r="AC21" s="911"/>
      <c r="AD21" s="911"/>
      <c r="AE21" s="911"/>
      <c r="AF21" s="911"/>
      <c r="AG21" s="911"/>
      <c r="AH21" s="911"/>
      <c r="AI21" s="911"/>
      <c r="AJ21" s="911"/>
      <c r="AK21" s="37"/>
      <c r="AL21" s="912" t="s">
        <v>156</v>
      </c>
      <c r="AM21" s="912"/>
      <c r="AN21" s="912"/>
      <c r="AO21" s="912"/>
      <c r="AP21" s="912"/>
      <c r="AQ21" s="912"/>
      <c r="AR21" s="912"/>
      <c r="AS21" s="912"/>
      <c r="AT21" s="912"/>
      <c r="AU21" s="912"/>
      <c r="AV21" s="912"/>
      <c r="AW21" s="912"/>
      <c r="AX21" s="912"/>
      <c r="AY21" s="912"/>
      <c r="AZ21" s="912"/>
      <c r="BA21" s="37"/>
      <c r="BB21" s="913">
        <f>A21*0.5</f>
        <v>0</v>
      </c>
      <c r="BC21" s="913"/>
      <c r="BD21" s="913"/>
      <c r="BE21" s="913"/>
      <c r="BF21" s="913"/>
    </row>
    <row r="22" spans="1:58" ht="12" customHeight="1" x14ac:dyDescent="0.25">
      <c r="A22" s="914"/>
      <c r="B22" s="914"/>
      <c r="C22" s="914"/>
      <c r="D22" s="36"/>
      <c r="E22" s="915" t="s">
        <v>157</v>
      </c>
      <c r="F22" s="915"/>
      <c r="G22" s="915"/>
      <c r="H22" s="915"/>
      <c r="I22" s="915"/>
      <c r="J22" s="915"/>
      <c r="K22" s="915"/>
      <c r="L22" s="915"/>
      <c r="M22" s="915"/>
      <c r="N22" s="915"/>
      <c r="O22" s="915"/>
      <c r="P22" s="915"/>
      <c r="Q22" s="915"/>
      <c r="R22" s="915"/>
      <c r="S22" s="915"/>
      <c r="T22" s="915"/>
      <c r="U22" s="915"/>
      <c r="V22" s="915"/>
      <c r="W22" s="915"/>
      <c r="X22" s="915"/>
      <c r="Y22" s="915"/>
      <c r="Z22" s="915"/>
      <c r="AA22" s="915"/>
      <c r="AB22" s="915"/>
      <c r="AC22" s="915"/>
      <c r="AD22" s="915"/>
      <c r="AE22" s="915"/>
      <c r="AF22" s="915"/>
      <c r="AG22" s="915"/>
      <c r="AH22" s="915"/>
      <c r="AI22" s="915"/>
      <c r="AJ22" s="915"/>
      <c r="AK22" s="37"/>
      <c r="AL22" s="916" t="s">
        <v>156</v>
      </c>
      <c r="AM22" s="916"/>
      <c r="AN22" s="916"/>
      <c r="AO22" s="916"/>
      <c r="AP22" s="916"/>
      <c r="AQ22" s="916"/>
      <c r="AR22" s="916"/>
      <c r="AS22" s="916"/>
      <c r="AT22" s="916"/>
      <c r="AU22" s="916"/>
      <c r="AV22" s="916"/>
      <c r="AW22" s="916"/>
      <c r="AX22" s="916"/>
      <c r="AY22" s="916"/>
      <c r="AZ22" s="916"/>
      <c r="BA22" s="37"/>
      <c r="BB22" s="917"/>
      <c r="BC22" s="917"/>
      <c r="BD22" s="917"/>
      <c r="BE22" s="917"/>
      <c r="BF22" s="917"/>
    </row>
    <row r="23" spans="1:58" ht="12" customHeight="1" x14ac:dyDescent="0.25">
      <c r="A23" s="926"/>
      <c r="B23" s="926"/>
      <c r="C23" s="926"/>
      <c r="D23" s="36"/>
      <c r="E23" s="911"/>
      <c r="F23" s="911"/>
      <c r="G23" s="911"/>
      <c r="H23" s="911"/>
      <c r="I23" s="911"/>
      <c r="J23" s="911"/>
      <c r="K23" s="911"/>
      <c r="L23" s="911"/>
      <c r="M23" s="911"/>
      <c r="N23" s="911"/>
      <c r="O23" s="911"/>
      <c r="P23" s="911"/>
      <c r="Q23" s="911"/>
      <c r="R23" s="911"/>
      <c r="S23" s="911"/>
      <c r="T23" s="911"/>
      <c r="U23" s="911"/>
      <c r="V23" s="911"/>
      <c r="W23" s="911"/>
      <c r="X23" s="911"/>
      <c r="Y23" s="911"/>
      <c r="Z23" s="911"/>
      <c r="AA23" s="911"/>
      <c r="AB23" s="911"/>
      <c r="AC23" s="911"/>
      <c r="AD23" s="911"/>
      <c r="AE23" s="911"/>
      <c r="AF23" s="911"/>
      <c r="AG23" s="911"/>
      <c r="AH23" s="911"/>
      <c r="AI23" s="911"/>
      <c r="AJ23" s="911"/>
      <c r="AK23" s="37"/>
      <c r="AL23" s="912"/>
      <c r="AM23" s="912"/>
      <c r="AN23" s="912"/>
      <c r="AO23" s="912"/>
      <c r="AP23" s="912"/>
      <c r="AQ23" s="912"/>
      <c r="AR23" s="912"/>
      <c r="AS23" s="912"/>
      <c r="AT23" s="912"/>
      <c r="AU23" s="912"/>
      <c r="AV23" s="912"/>
      <c r="AW23" s="912"/>
      <c r="AX23" s="912"/>
      <c r="AY23" s="912"/>
      <c r="AZ23" s="912"/>
      <c r="BA23" s="37"/>
      <c r="BB23" s="913"/>
      <c r="BC23" s="913"/>
      <c r="BD23" s="913"/>
      <c r="BE23" s="913"/>
      <c r="BF23" s="913"/>
    </row>
    <row r="24" spans="1:58" ht="12" customHeight="1" x14ac:dyDescent="0.25">
      <c r="A24" s="914"/>
      <c r="B24" s="914"/>
      <c r="C24" s="914"/>
      <c r="D24" s="36"/>
      <c r="E24" s="915"/>
      <c r="F24" s="915"/>
      <c r="G24" s="915"/>
      <c r="H24" s="915"/>
      <c r="I24" s="915"/>
      <c r="J24" s="915"/>
      <c r="K24" s="915"/>
      <c r="L24" s="915"/>
      <c r="M24" s="915"/>
      <c r="N24" s="915"/>
      <c r="O24" s="915"/>
      <c r="P24" s="915"/>
      <c r="Q24" s="915"/>
      <c r="R24" s="915"/>
      <c r="S24" s="915"/>
      <c r="T24" s="915"/>
      <c r="U24" s="915"/>
      <c r="V24" s="915"/>
      <c r="W24" s="915"/>
      <c r="X24" s="915"/>
      <c r="Y24" s="915"/>
      <c r="Z24" s="915"/>
      <c r="AA24" s="915"/>
      <c r="AB24" s="915"/>
      <c r="AC24" s="915"/>
      <c r="AD24" s="915"/>
      <c r="AE24" s="915"/>
      <c r="AF24" s="915"/>
      <c r="AG24" s="915"/>
      <c r="AH24" s="915"/>
      <c r="AI24" s="915"/>
      <c r="AJ24" s="915"/>
      <c r="AK24" s="37"/>
      <c r="AL24" s="916"/>
      <c r="AM24" s="916"/>
      <c r="AN24" s="916"/>
      <c r="AO24" s="916"/>
      <c r="AP24" s="916"/>
      <c r="AQ24" s="916"/>
      <c r="AR24" s="916"/>
      <c r="AS24" s="916"/>
      <c r="AT24" s="916"/>
      <c r="AU24" s="916"/>
      <c r="AV24" s="916"/>
      <c r="AW24" s="916"/>
      <c r="AX24" s="916"/>
      <c r="AY24" s="916"/>
      <c r="AZ24" s="916"/>
      <c r="BA24" s="37"/>
      <c r="BB24" s="917"/>
      <c r="BC24" s="917"/>
      <c r="BD24" s="917"/>
      <c r="BE24" s="917"/>
      <c r="BF24" s="917"/>
    </row>
    <row r="25" spans="1:58" ht="12" customHeight="1" thickBot="1" x14ac:dyDescent="0.3">
      <c r="A25" s="918"/>
      <c r="B25" s="918"/>
      <c r="C25" s="918"/>
      <c r="D25" s="38"/>
      <c r="E25" s="919"/>
      <c r="F25" s="919"/>
      <c r="G25" s="919"/>
      <c r="H25" s="919"/>
      <c r="I25" s="919"/>
      <c r="J25" s="919"/>
      <c r="K25" s="919"/>
      <c r="L25" s="919"/>
      <c r="M25" s="919"/>
      <c r="N25" s="919"/>
      <c r="O25" s="919"/>
      <c r="P25" s="919"/>
      <c r="Q25" s="919"/>
      <c r="R25" s="919"/>
      <c r="S25" s="919"/>
      <c r="T25" s="919"/>
      <c r="U25" s="919"/>
      <c r="V25" s="919"/>
      <c r="W25" s="919"/>
      <c r="X25" s="919"/>
      <c r="Y25" s="919"/>
      <c r="Z25" s="919"/>
      <c r="AA25" s="919"/>
      <c r="AB25" s="919"/>
      <c r="AC25" s="919"/>
      <c r="AD25" s="919"/>
      <c r="AE25" s="919"/>
      <c r="AF25" s="919"/>
      <c r="AG25" s="919"/>
      <c r="AH25" s="919"/>
      <c r="AI25" s="919"/>
      <c r="AJ25" s="919"/>
      <c r="AK25" s="39"/>
      <c r="AL25" s="920"/>
      <c r="AM25" s="920"/>
      <c r="AN25" s="920"/>
      <c r="AO25" s="920"/>
      <c r="AP25" s="920"/>
      <c r="AQ25" s="920"/>
      <c r="AR25" s="920"/>
      <c r="AS25" s="920"/>
      <c r="AT25" s="920"/>
      <c r="AU25" s="920"/>
      <c r="AV25" s="920"/>
      <c r="AW25" s="920"/>
      <c r="AX25" s="920"/>
      <c r="AY25" s="920"/>
      <c r="AZ25" s="920"/>
      <c r="BA25" s="39"/>
      <c r="BB25" s="921"/>
      <c r="BC25" s="921"/>
      <c r="BD25" s="921"/>
      <c r="BE25" s="921"/>
      <c r="BF25" s="921"/>
    </row>
    <row r="26" spans="1:58" ht="4.5" customHeight="1" thickBot="1" x14ac:dyDescent="0.3">
      <c r="A26" s="28"/>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42"/>
      <c r="BC26" s="42"/>
      <c r="BD26" s="42"/>
      <c r="BE26" s="42"/>
      <c r="BF26" s="42"/>
    </row>
    <row r="27" spans="1:58" s="41" customFormat="1" ht="12" customHeight="1" thickBot="1" x14ac:dyDescent="0.3">
      <c r="A27" s="922" t="s">
        <v>150</v>
      </c>
      <c r="B27" s="923"/>
      <c r="C27" s="923"/>
      <c r="D27" s="57"/>
      <c r="E27" s="923" t="s">
        <v>156</v>
      </c>
      <c r="F27" s="923"/>
      <c r="G27" s="923"/>
      <c r="H27" s="923"/>
      <c r="I27" s="923"/>
      <c r="J27" s="923"/>
      <c r="K27" s="923"/>
      <c r="L27" s="923"/>
      <c r="M27" s="923"/>
      <c r="N27" s="923"/>
      <c r="O27" s="923"/>
      <c r="P27" s="923"/>
      <c r="Q27" s="923"/>
      <c r="R27" s="923"/>
      <c r="S27" s="923"/>
      <c r="T27" s="923"/>
      <c r="U27" s="923"/>
      <c r="V27" s="923"/>
      <c r="W27" s="923"/>
      <c r="X27" s="923"/>
      <c r="Y27" s="923"/>
      <c r="Z27" s="923"/>
      <c r="AA27" s="923"/>
      <c r="AB27" s="923"/>
      <c r="AC27" s="923"/>
      <c r="AD27" s="923"/>
      <c r="AE27" s="923"/>
      <c r="AF27" s="923"/>
      <c r="AG27" s="923"/>
      <c r="AH27" s="923"/>
      <c r="AI27" s="923"/>
      <c r="AJ27" s="923"/>
      <c r="AK27" s="57"/>
      <c r="AL27" s="924" t="s">
        <v>152</v>
      </c>
      <c r="AM27" s="924"/>
      <c r="AN27" s="924"/>
      <c r="AO27" s="924"/>
      <c r="AP27" s="924"/>
      <c r="AQ27" s="924"/>
      <c r="AR27" s="924"/>
      <c r="AS27" s="924"/>
      <c r="AT27" s="924"/>
      <c r="AU27" s="924"/>
      <c r="AV27" s="924"/>
      <c r="AW27" s="924"/>
      <c r="AX27" s="924"/>
      <c r="AY27" s="924"/>
      <c r="AZ27" s="924"/>
      <c r="BA27" s="57"/>
      <c r="BB27" s="923" t="s">
        <v>6</v>
      </c>
      <c r="BC27" s="923"/>
      <c r="BD27" s="923"/>
      <c r="BE27" s="923"/>
      <c r="BF27" s="925"/>
    </row>
    <row r="28" spans="1:58" ht="12" customHeight="1" x14ac:dyDescent="0.25">
      <c r="A28" s="926">
        <v>1</v>
      </c>
      <c r="B28" s="926"/>
      <c r="C28" s="926"/>
      <c r="D28" s="36"/>
      <c r="E28" s="911" t="s">
        <v>159</v>
      </c>
      <c r="F28" s="911"/>
      <c r="G28" s="911"/>
      <c r="H28" s="911"/>
      <c r="I28" s="911"/>
      <c r="J28" s="911"/>
      <c r="K28" s="911"/>
      <c r="L28" s="911"/>
      <c r="M28" s="911"/>
      <c r="N28" s="911"/>
      <c r="O28" s="911"/>
      <c r="P28" s="911"/>
      <c r="Q28" s="911"/>
      <c r="R28" s="911"/>
      <c r="S28" s="911"/>
      <c r="T28" s="911"/>
      <c r="U28" s="911"/>
      <c r="V28" s="911"/>
      <c r="W28" s="911"/>
      <c r="X28" s="911"/>
      <c r="Y28" s="911"/>
      <c r="Z28" s="911"/>
      <c r="AA28" s="911"/>
      <c r="AB28" s="911"/>
      <c r="AC28" s="911"/>
      <c r="AD28" s="911"/>
      <c r="AE28" s="911"/>
      <c r="AF28" s="911"/>
      <c r="AG28" s="911"/>
      <c r="AH28" s="911"/>
      <c r="AI28" s="911"/>
      <c r="AJ28" s="911"/>
      <c r="AK28" s="37"/>
      <c r="AL28" s="912" t="s">
        <v>160</v>
      </c>
      <c r="AM28" s="912"/>
      <c r="AN28" s="912"/>
      <c r="AO28" s="912"/>
      <c r="AP28" s="912"/>
      <c r="AQ28" s="912"/>
      <c r="AR28" s="912"/>
      <c r="AS28" s="912"/>
      <c r="AT28" s="912"/>
      <c r="AU28" s="912"/>
      <c r="AV28" s="912"/>
      <c r="AW28" s="912"/>
      <c r="AX28" s="912"/>
      <c r="AY28" s="912"/>
      <c r="AZ28" s="912"/>
      <c r="BA28" s="37"/>
      <c r="BB28" s="913">
        <v>0.5</v>
      </c>
      <c r="BC28" s="913"/>
      <c r="BD28" s="913"/>
      <c r="BE28" s="913"/>
      <c r="BF28" s="913"/>
    </row>
    <row r="29" spans="1:58" ht="12" customHeight="1" x14ac:dyDescent="0.25">
      <c r="A29" s="914">
        <v>1</v>
      </c>
      <c r="B29" s="914"/>
      <c r="C29" s="914"/>
      <c r="D29" s="36"/>
      <c r="E29" s="915" t="s">
        <v>161</v>
      </c>
      <c r="F29" s="915"/>
      <c r="G29" s="915"/>
      <c r="H29" s="915"/>
      <c r="I29" s="915"/>
      <c r="J29" s="915"/>
      <c r="K29" s="915"/>
      <c r="L29" s="915"/>
      <c r="M29" s="915"/>
      <c r="N29" s="915"/>
      <c r="O29" s="915"/>
      <c r="P29" s="915"/>
      <c r="Q29" s="915"/>
      <c r="R29" s="915"/>
      <c r="S29" s="915"/>
      <c r="T29" s="915"/>
      <c r="U29" s="915"/>
      <c r="V29" s="915"/>
      <c r="W29" s="915"/>
      <c r="X29" s="915"/>
      <c r="Y29" s="915"/>
      <c r="Z29" s="915"/>
      <c r="AA29" s="915"/>
      <c r="AB29" s="915"/>
      <c r="AC29" s="915"/>
      <c r="AD29" s="915"/>
      <c r="AE29" s="915"/>
      <c r="AF29" s="915"/>
      <c r="AG29" s="915"/>
      <c r="AH29" s="915"/>
      <c r="AI29" s="915"/>
      <c r="AJ29" s="915"/>
      <c r="AK29" s="37"/>
      <c r="AL29" s="916" t="s">
        <v>156</v>
      </c>
      <c r="AM29" s="916"/>
      <c r="AN29" s="916"/>
      <c r="AO29" s="916"/>
      <c r="AP29" s="916"/>
      <c r="AQ29" s="916"/>
      <c r="AR29" s="916"/>
      <c r="AS29" s="916"/>
      <c r="AT29" s="916"/>
      <c r="AU29" s="916"/>
      <c r="AV29" s="916"/>
      <c r="AW29" s="916"/>
      <c r="AX29" s="916"/>
      <c r="AY29" s="916"/>
      <c r="AZ29" s="916"/>
      <c r="BA29" s="37"/>
      <c r="BB29" s="917">
        <v>2</v>
      </c>
      <c r="BC29" s="917"/>
      <c r="BD29" s="917"/>
      <c r="BE29" s="917"/>
      <c r="BF29" s="917"/>
    </row>
    <row r="30" spans="1:58" ht="12" customHeight="1" x14ac:dyDescent="0.25">
      <c r="A30" s="926"/>
      <c r="B30" s="926"/>
      <c r="C30" s="926"/>
      <c r="D30" s="36"/>
      <c r="E30" s="911"/>
      <c r="F30" s="911"/>
      <c r="G30" s="911"/>
      <c r="H30" s="911"/>
      <c r="I30" s="911"/>
      <c r="J30" s="911"/>
      <c r="K30" s="911"/>
      <c r="L30" s="911"/>
      <c r="M30" s="911"/>
      <c r="N30" s="911"/>
      <c r="O30" s="911"/>
      <c r="P30" s="911"/>
      <c r="Q30" s="911"/>
      <c r="R30" s="911"/>
      <c r="S30" s="911"/>
      <c r="T30" s="911"/>
      <c r="U30" s="911"/>
      <c r="V30" s="911"/>
      <c r="W30" s="911"/>
      <c r="X30" s="911"/>
      <c r="Y30" s="911"/>
      <c r="Z30" s="911"/>
      <c r="AA30" s="911"/>
      <c r="AB30" s="911"/>
      <c r="AC30" s="911"/>
      <c r="AD30" s="911"/>
      <c r="AE30" s="911"/>
      <c r="AF30" s="911"/>
      <c r="AG30" s="911"/>
      <c r="AH30" s="911"/>
      <c r="AI30" s="911"/>
      <c r="AJ30" s="911"/>
      <c r="AK30" s="37"/>
      <c r="AL30" s="912"/>
      <c r="AM30" s="912"/>
      <c r="AN30" s="912"/>
      <c r="AO30" s="912"/>
      <c r="AP30" s="912"/>
      <c r="AQ30" s="912"/>
      <c r="AR30" s="912"/>
      <c r="AS30" s="912"/>
      <c r="AT30" s="912"/>
      <c r="AU30" s="912"/>
      <c r="AV30" s="912"/>
      <c r="AW30" s="912"/>
      <c r="AX30" s="912"/>
      <c r="AY30" s="912"/>
      <c r="AZ30" s="912"/>
      <c r="BA30" s="37"/>
      <c r="BB30" s="913"/>
      <c r="BC30" s="913"/>
      <c r="BD30" s="913"/>
      <c r="BE30" s="913"/>
      <c r="BF30" s="913"/>
    </row>
    <row r="31" spans="1:58" ht="12" customHeight="1" x14ac:dyDescent="0.25">
      <c r="A31" s="914"/>
      <c r="B31" s="914"/>
      <c r="C31" s="914"/>
      <c r="D31" s="36"/>
      <c r="E31" s="915"/>
      <c r="F31" s="915"/>
      <c r="G31" s="915"/>
      <c r="H31" s="915"/>
      <c r="I31" s="915"/>
      <c r="J31" s="915"/>
      <c r="K31" s="915"/>
      <c r="L31" s="915"/>
      <c r="M31" s="915"/>
      <c r="N31" s="915"/>
      <c r="O31" s="915"/>
      <c r="P31" s="915"/>
      <c r="Q31" s="915"/>
      <c r="R31" s="915"/>
      <c r="S31" s="915"/>
      <c r="T31" s="915"/>
      <c r="U31" s="915"/>
      <c r="V31" s="915"/>
      <c r="W31" s="915"/>
      <c r="X31" s="915"/>
      <c r="Y31" s="915"/>
      <c r="Z31" s="915"/>
      <c r="AA31" s="915"/>
      <c r="AB31" s="915"/>
      <c r="AC31" s="915"/>
      <c r="AD31" s="915"/>
      <c r="AE31" s="915"/>
      <c r="AF31" s="915"/>
      <c r="AG31" s="915"/>
      <c r="AH31" s="915"/>
      <c r="AI31" s="915"/>
      <c r="AJ31" s="915"/>
      <c r="AK31" s="37"/>
      <c r="AL31" s="916"/>
      <c r="AM31" s="916"/>
      <c r="AN31" s="916"/>
      <c r="AO31" s="916"/>
      <c r="AP31" s="916"/>
      <c r="AQ31" s="916"/>
      <c r="AR31" s="916"/>
      <c r="AS31" s="916"/>
      <c r="AT31" s="916"/>
      <c r="AU31" s="916"/>
      <c r="AV31" s="916"/>
      <c r="AW31" s="916"/>
      <c r="AX31" s="916"/>
      <c r="AY31" s="916"/>
      <c r="AZ31" s="916"/>
      <c r="BA31" s="37"/>
      <c r="BB31" s="917"/>
      <c r="BC31" s="917"/>
      <c r="BD31" s="917"/>
      <c r="BE31" s="917"/>
      <c r="BF31" s="917"/>
    </row>
    <row r="32" spans="1:58" ht="12" customHeight="1" x14ac:dyDescent="0.25">
      <c r="A32" s="926"/>
      <c r="B32" s="926"/>
      <c r="C32" s="926"/>
      <c r="D32" s="36"/>
      <c r="E32" s="911"/>
      <c r="F32" s="911"/>
      <c r="G32" s="911"/>
      <c r="H32" s="911"/>
      <c r="I32" s="911"/>
      <c r="J32" s="911"/>
      <c r="K32" s="911"/>
      <c r="L32" s="911"/>
      <c r="M32" s="911"/>
      <c r="N32" s="911"/>
      <c r="O32" s="911"/>
      <c r="P32" s="911"/>
      <c r="Q32" s="911"/>
      <c r="R32" s="911"/>
      <c r="S32" s="911"/>
      <c r="T32" s="911"/>
      <c r="U32" s="911"/>
      <c r="V32" s="911"/>
      <c r="W32" s="911"/>
      <c r="X32" s="911"/>
      <c r="Y32" s="911"/>
      <c r="Z32" s="911"/>
      <c r="AA32" s="911"/>
      <c r="AB32" s="911"/>
      <c r="AC32" s="911"/>
      <c r="AD32" s="911"/>
      <c r="AE32" s="911"/>
      <c r="AF32" s="911"/>
      <c r="AG32" s="911"/>
      <c r="AH32" s="911"/>
      <c r="AI32" s="911"/>
      <c r="AJ32" s="911"/>
      <c r="AK32" s="37"/>
      <c r="AL32" s="912"/>
      <c r="AM32" s="912"/>
      <c r="AN32" s="912"/>
      <c r="AO32" s="912"/>
      <c r="AP32" s="912"/>
      <c r="AQ32" s="912"/>
      <c r="AR32" s="912"/>
      <c r="AS32" s="912"/>
      <c r="AT32" s="912"/>
      <c r="AU32" s="912"/>
      <c r="AV32" s="912"/>
      <c r="AW32" s="912"/>
      <c r="AX32" s="912"/>
      <c r="AY32" s="912"/>
      <c r="AZ32" s="912"/>
      <c r="BA32" s="37"/>
      <c r="BB32" s="913"/>
      <c r="BC32" s="913"/>
      <c r="BD32" s="913"/>
      <c r="BE32" s="913"/>
      <c r="BF32" s="913"/>
    </row>
    <row r="33" spans="1:58" ht="12" customHeight="1" x14ac:dyDescent="0.25">
      <c r="A33" s="914"/>
      <c r="B33" s="914"/>
      <c r="C33" s="914"/>
      <c r="D33" s="36"/>
      <c r="E33" s="915"/>
      <c r="F33" s="915"/>
      <c r="G33" s="915"/>
      <c r="H33" s="915"/>
      <c r="I33" s="915"/>
      <c r="J33" s="915"/>
      <c r="K33" s="915"/>
      <c r="L33" s="915"/>
      <c r="M33" s="915"/>
      <c r="N33" s="915"/>
      <c r="O33" s="915"/>
      <c r="P33" s="915"/>
      <c r="Q33" s="915"/>
      <c r="R33" s="915"/>
      <c r="S33" s="915"/>
      <c r="T33" s="915"/>
      <c r="U33" s="915"/>
      <c r="V33" s="915"/>
      <c r="W33" s="915"/>
      <c r="X33" s="915"/>
      <c r="Y33" s="915"/>
      <c r="Z33" s="915"/>
      <c r="AA33" s="915"/>
      <c r="AB33" s="915"/>
      <c r="AC33" s="915"/>
      <c r="AD33" s="915"/>
      <c r="AE33" s="915"/>
      <c r="AF33" s="915"/>
      <c r="AG33" s="915"/>
      <c r="AH33" s="915"/>
      <c r="AI33" s="915"/>
      <c r="AJ33" s="915"/>
      <c r="AK33" s="37"/>
      <c r="AL33" s="916"/>
      <c r="AM33" s="916"/>
      <c r="AN33" s="916"/>
      <c r="AO33" s="916"/>
      <c r="AP33" s="916"/>
      <c r="AQ33" s="916"/>
      <c r="AR33" s="916"/>
      <c r="AS33" s="916"/>
      <c r="AT33" s="916"/>
      <c r="AU33" s="916"/>
      <c r="AV33" s="916"/>
      <c r="AW33" s="916"/>
      <c r="AX33" s="916"/>
      <c r="AY33" s="916"/>
      <c r="AZ33" s="916"/>
      <c r="BA33" s="37"/>
      <c r="BB33" s="917"/>
      <c r="BC33" s="917"/>
      <c r="BD33" s="917"/>
      <c r="BE33" s="917"/>
      <c r="BF33" s="917"/>
    </row>
    <row r="34" spans="1:58" ht="12" customHeight="1" x14ac:dyDescent="0.25">
      <c r="A34" s="926"/>
      <c r="B34" s="926"/>
      <c r="C34" s="926"/>
      <c r="D34" s="36"/>
      <c r="E34" s="911"/>
      <c r="F34" s="911"/>
      <c r="G34" s="911"/>
      <c r="H34" s="911"/>
      <c r="I34" s="911"/>
      <c r="J34" s="911"/>
      <c r="K34" s="911"/>
      <c r="L34" s="911"/>
      <c r="M34" s="911"/>
      <c r="N34" s="911"/>
      <c r="O34" s="911"/>
      <c r="P34" s="911"/>
      <c r="Q34" s="911"/>
      <c r="R34" s="911"/>
      <c r="S34" s="911"/>
      <c r="T34" s="911"/>
      <c r="U34" s="911"/>
      <c r="V34" s="911"/>
      <c r="W34" s="911"/>
      <c r="X34" s="911"/>
      <c r="Y34" s="911"/>
      <c r="Z34" s="911"/>
      <c r="AA34" s="911"/>
      <c r="AB34" s="911"/>
      <c r="AC34" s="911"/>
      <c r="AD34" s="911"/>
      <c r="AE34" s="911"/>
      <c r="AF34" s="911"/>
      <c r="AG34" s="911"/>
      <c r="AH34" s="911"/>
      <c r="AI34" s="911"/>
      <c r="AJ34" s="911"/>
      <c r="AK34" s="37"/>
      <c r="AL34" s="912"/>
      <c r="AM34" s="912"/>
      <c r="AN34" s="912"/>
      <c r="AO34" s="912"/>
      <c r="AP34" s="912"/>
      <c r="AQ34" s="912"/>
      <c r="AR34" s="912"/>
      <c r="AS34" s="912"/>
      <c r="AT34" s="912"/>
      <c r="AU34" s="912"/>
      <c r="AV34" s="912"/>
      <c r="AW34" s="912"/>
      <c r="AX34" s="912"/>
      <c r="AY34" s="912"/>
      <c r="AZ34" s="912"/>
      <c r="BA34" s="37"/>
      <c r="BB34" s="913"/>
      <c r="BC34" s="913"/>
      <c r="BD34" s="913"/>
      <c r="BE34" s="913"/>
      <c r="BF34" s="913"/>
    </row>
    <row r="35" spans="1:58" ht="12" customHeight="1" x14ac:dyDescent="0.25">
      <c r="A35" s="914"/>
      <c r="B35" s="914"/>
      <c r="C35" s="914"/>
      <c r="D35" s="36"/>
      <c r="E35" s="915"/>
      <c r="F35" s="915"/>
      <c r="G35" s="915"/>
      <c r="H35" s="915"/>
      <c r="I35" s="915"/>
      <c r="J35" s="915"/>
      <c r="K35" s="915"/>
      <c r="L35" s="915"/>
      <c r="M35" s="915"/>
      <c r="N35" s="915"/>
      <c r="O35" s="915"/>
      <c r="P35" s="915"/>
      <c r="Q35" s="915"/>
      <c r="R35" s="915"/>
      <c r="S35" s="915"/>
      <c r="T35" s="915"/>
      <c r="U35" s="915"/>
      <c r="V35" s="915"/>
      <c r="W35" s="915"/>
      <c r="X35" s="915"/>
      <c r="Y35" s="915"/>
      <c r="Z35" s="915"/>
      <c r="AA35" s="915"/>
      <c r="AB35" s="915"/>
      <c r="AC35" s="915"/>
      <c r="AD35" s="915"/>
      <c r="AE35" s="915"/>
      <c r="AF35" s="915"/>
      <c r="AG35" s="915"/>
      <c r="AH35" s="915"/>
      <c r="AI35" s="915"/>
      <c r="AJ35" s="915"/>
      <c r="AK35" s="37"/>
      <c r="AL35" s="916"/>
      <c r="AM35" s="916"/>
      <c r="AN35" s="916"/>
      <c r="AO35" s="916"/>
      <c r="AP35" s="916"/>
      <c r="AQ35" s="916"/>
      <c r="AR35" s="916"/>
      <c r="AS35" s="916"/>
      <c r="AT35" s="916"/>
      <c r="AU35" s="916"/>
      <c r="AV35" s="916"/>
      <c r="AW35" s="916"/>
      <c r="AX35" s="916"/>
      <c r="AY35" s="916"/>
      <c r="AZ35" s="916"/>
      <c r="BA35" s="37"/>
      <c r="BB35" s="917"/>
      <c r="BC35" s="917"/>
      <c r="BD35" s="917"/>
      <c r="BE35" s="917"/>
      <c r="BF35" s="917"/>
    </row>
    <row r="36" spans="1:58" ht="12" customHeight="1" x14ac:dyDescent="0.25">
      <c r="A36" s="926"/>
      <c r="B36" s="926"/>
      <c r="C36" s="926"/>
      <c r="D36" s="36"/>
      <c r="E36" s="911"/>
      <c r="F36" s="911"/>
      <c r="G36" s="911"/>
      <c r="H36" s="911"/>
      <c r="I36" s="911"/>
      <c r="J36" s="911"/>
      <c r="K36" s="911"/>
      <c r="L36" s="911"/>
      <c r="M36" s="911"/>
      <c r="N36" s="911"/>
      <c r="O36" s="911"/>
      <c r="P36" s="911"/>
      <c r="Q36" s="911"/>
      <c r="R36" s="911"/>
      <c r="S36" s="911"/>
      <c r="T36" s="911"/>
      <c r="U36" s="911"/>
      <c r="V36" s="911"/>
      <c r="W36" s="911"/>
      <c r="X36" s="911"/>
      <c r="Y36" s="911"/>
      <c r="Z36" s="911"/>
      <c r="AA36" s="911"/>
      <c r="AB36" s="911"/>
      <c r="AC36" s="911"/>
      <c r="AD36" s="911"/>
      <c r="AE36" s="911"/>
      <c r="AF36" s="911"/>
      <c r="AG36" s="911"/>
      <c r="AH36" s="911"/>
      <c r="AI36" s="911"/>
      <c r="AJ36" s="911"/>
      <c r="AK36" s="37"/>
      <c r="AL36" s="912"/>
      <c r="AM36" s="912"/>
      <c r="AN36" s="912"/>
      <c r="AO36" s="912"/>
      <c r="AP36" s="912"/>
      <c r="AQ36" s="912"/>
      <c r="AR36" s="912"/>
      <c r="AS36" s="912"/>
      <c r="AT36" s="912"/>
      <c r="AU36" s="912"/>
      <c r="AV36" s="912"/>
      <c r="AW36" s="912"/>
      <c r="AX36" s="912"/>
      <c r="AY36" s="912"/>
      <c r="AZ36" s="912"/>
      <c r="BA36" s="37"/>
      <c r="BB36" s="913"/>
      <c r="BC36" s="913"/>
      <c r="BD36" s="913"/>
      <c r="BE36" s="913"/>
      <c r="BF36" s="913"/>
    </row>
    <row r="37" spans="1:58" ht="12" customHeight="1" x14ac:dyDescent="0.25">
      <c r="A37" s="914"/>
      <c r="B37" s="914"/>
      <c r="C37" s="914"/>
      <c r="D37" s="36"/>
      <c r="E37" s="915"/>
      <c r="F37" s="915"/>
      <c r="G37" s="915"/>
      <c r="H37" s="915"/>
      <c r="I37" s="915"/>
      <c r="J37" s="915"/>
      <c r="K37" s="915"/>
      <c r="L37" s="915"/>
      <c r="M37" s="915"/>
      <c r="N37" s="915"/>
      <c r="O37" s="915"/>
      <c r="P37" s="915"/>
      <c r="Q37" s="915"/>
      <c r="R37" s="915"/>
      <c r="S37" s="915"/>
      <c r="T37" s="915"/>
      <c r="U37" s="915"/>
      <c r="V37" s="915"/>
      <c r="W37" s="915"/>
      <c r="X37" s="915"/>
      <c r="Y37" s="915"/>
      <c r="Z37" s="915"/>
      <c r="AA37" s="915"/>
      <c r="AB37" s="915"/>
      <c r="AC37" s="915"/>
      <c r="AD37" s="915"/>
      <c r="AE37" s="915"/>
      <c r="AF37" s="915"/>
      <c r="AG37" s="915"/>
      <c r="AH37" s="915"/>
      <c r="AI37" s="915"/>
      <c r="AJ37" s="915"/>
      <c r="AK37" s="37"/>
      <c r="AL37" s="916"/>
      <c r="AM37" s="916"/>
      <c r="AN37" s="916"/>
      <c r="AO37" s="916"/>
      <c r="AP37" s="916"/>
      <c r="AQ37" s="916"/>
      <c r="AR37" s="916"/>
      <c r="AS37" s="916"/>
      <c r="AT37" s="916"/>
      <c r="AU37" s="916"/>
      <c r="AV37" s="916"/>
      <c r="AW37" s="916"/>
      <c r="AX37" s="916"/>
      <c r="AY37" s="916"/>
      <c r="AZ37" s="916"/>
      <c r="BA37" s="37"/>
      <c r="BB37" s="917"/>
      <c r="BC37" s="917"/>
      <c r="BD37" s="917"/>
      <c r="BE37" s="917"/>
      <c r="BF37" s="917"/>
    </row>
    <row r="38" spans="1:58" ht="12" customHeight="1" thickBot="1" x14ac:dyDescent="0.3">
      <c r="A38" s="918"/>
      <c r="B38" s="918"/>
      <c r="C38" s="918"/>
      <c r="D38" s="38"/>
      <c r="E38" s="919"/>
      <c r="F38" s="919"/>
      <c r="G38" s="919"/>
      <c r="H38" s="919"/>
      <c r="I38" s="919"/>
      <c r="J38" s="919"/>
      <c r="K38" s="919"/>
      <c r="L38" s="919"/>
      <c r="M38" s="919"/>
      <c r="N38" s="919"/>
      <c r="O38" s="919"/>
      <c r="P38" s="919"/>
      <c r="Q38" s="919"/>
      <c r="R38" s="919"/>
      <c r="S38" s="919"/>
      <c r="T38" s="919"/>
      <c r="U38" s="919"/>
      <c r="V38" s="919"/>
      <c r="W38" s="919"/>
      <c r="X38" s="919"/>
      <c r="Y38" s="919"/>
      <c r="Z38" s="919"/>
      <c r="AA38" s="919"/>
      <c r="AB38" s="919"/>
      <c r="AC38" s="919"/>
      <c r="AD38" s="919"/>
      <c r="AE38" s="919"/>
      <c r="AF38" s="919"/>
      <c r="AG38" s="919"/>
      <c r="AH38" s="919"/>
      <c r="AI38" s="919"/>
      <c r="AJ38" s="919"/>
      <c r="AK38" s="39"/>
      <c r="AL38" s="920"/>
      <c r="AM38" s="920"/>
      <c r="AN38" s="920"/>
      <c r="AO38" s="920"/>
      <c r="AP38" s="920"/>
      <c r="AQ38" s="920"/>
      <c r="AR38" s="920"/>
      <c r="AS38" s="920"/>
      <c r="AT38" s="920"/>
      <c r="AU38" s="920"/>
      <c r="AV38" s="920"/>
      <c r="AW38" s="920"/>
      <c r="AX38" s="920"/>
      <c r="AY38" s="920"/>
      <c r="AZ38" s="920"/>
      <c r="BA38" s="39"/>
      <c r="BB38" s="921"/>
      <c r="BC38" s="921"/>
      <c r="BD38" s="921"/>
      <c r="BE38" s="921"/>
      <c r="BF38" s="921"/>
    </row>
    <row r="39" spans="1:58" ht="4.5" customHeight="1" thickBot="1" x14ac:dyDescent="0.3">
      <c r="A39" s="28"/>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42"/>
      <c r="BC39" s="42"/>
      <c r="BD39" s="42"/>
      <c r="BE39" s="42"/>
      <c r="BF39" s="42"/>
    </row>
    <row r="40" spans="1:58" ht="12" customHeight="1" thickBot="1" x14ac:dyDescent="0.3">
      <c r="A40" s="922" t="s">
        <v>150</v>
      </c>
      <c r="B40" s="923"/>
      <c r="C40" s="923"/>
      <c r="D40" s="57"/>
      <c r="E40" s="923" t="s">
        <v>158</v>
      </c>
      <c r="F40" s="923"/>
      <c r="G40" s="923"/>
      <c r="H40" s="923"/>
      <c r="I40" s="923"/>
      <c r="J40" s="923"/>
      <c r="K40" s="923"/>
      <c r="L40" s="923"/>
      <c r="M40" s="923"/>
      <c r="N40" s="923"/>
      <c r="O40" s="923"/>
      <c r="P40" s="923"/>
      <c r="Q40" s="923"/>
      <c r="R40" s="923"/>
      <c r="S40" s="923"/>
      <c r="T40" s="923"/>
      <c r="U40" s="923"/>
      <c r="V40" s="923"/>
      <c r="W40" s="923"/>
      <c r="X40" s="923"/>
      <c r="Y40" s="923"/>
      <c r="Z40" s="923"/>
      <c r="AA40" s="923"/>
      <c r="AB40" s="923"/>
      <c r="AC40" s="923"/>
      <c r="AD40" s="923"/>
      <c r="AE40" s="923"/>
      <c r="AF40" s="923"/>
      <c r="AG40" s="923"/>
      <c r="AH40" s="923"/>
      <c r="AI40" s="923"/>
      <c r="AJ40" s="923"/>
      <c r="AK40" s="57"/>
      <c r="AL40" s="924" t="s">
        <v>152</v>
      </c>
      <c r="AM40" s="924"/>
      <c r="AN40" s="924"/>
      <c r="AO40" s="924"/>
      <c r="AP40" s="924"/>
      <c r="AQ40" s="924"/>
      <c r="AR40" s="924"/>
      <c r="AS40" s="924"/>
      <c r="AT40" s="924"/>
      <c r="AU40" s="924"/>
      <c r="AV40" s="924"/>
      <c r="AW40" s="924"/>
      <c r="AX40" s="924"/>
      <c r="AY40" s="924"/>
      <c r="AZ40" s="924"/>
      <c r="BA40" s="57"/>
      <c r="BB40" s="923" t="s">
        <v>6</v>
      </c>
      <c r="BC40" s="923"/>
      <c r="BD40" s="923"/>
      <c r="BE40" s="923"/>
      <c r="BF40" s="925"/>
    </row>
    <row r="41" spans="1:58" ht="12" customHeight="1" x14ac:dyDescent="0.25">
      <c r="A41" s="926">
        <v>1</v>
      </c>
      <c r="B41" s="926"/>
      <c r="C41" s="926"/>
      <c r="D41" s="36"/>
      <c r="E41" s="911" t="s">
        <v>162</v>
      </c>
      <c r="F41" s="911"/>
      <c r="G41" s="911"/>
      <c r="H41" s="911"/>
      <c r="I41" s="911"/>
      <c r="J41" s="911"/>
      <c r="K41" s="911"/>
      <c r="L41" s="911"/>
      <c r="M41" s="911"/>
      <c r="N41" s="911"/>
      <c r="O41" s="911"/>
      <c r="P41" s="911"/>
      <c r="Q41" s="911"/>
      <c r="R41" s="911"/>
      <c r="S41" s="911"/>
      <c r="T41" s="911"/>
      <c r="U41" s="911"/>
      <c r="V41" s="911"/>
      <c r="W41" s="911"/>
      <c r="X41" s="911"/>
      <c r="Y41" s="911"/>
      <c r="Z41" s="911"/>
      <c r="AA41" s="911"/>
      <c r="AB41" s="911"/>
      <c r="AC41" s="911"/>
      <c r="AD41" s="911"/>
      <c r="AE41" s="911"/>
      <c r="AF41" s="911"/>
      <c r="AG41" s="911"/>
      <c r="AH41" s="911"/>
      <c r="AI41" s="911"/>
      <c r="AJ41" s="911"/>
      <c r="AK41" s="37"/>
      <c r="AL41" s="912" t="s">
        <v>163</v>
      </c>
      <c r="AM41" s="912"/>
      <c r="AN41" s="912"/>
      <c r="AO41" s="912"/>
      <c r="AP41" s="912"/>
      <c r="AQ41" s="912"/>
      <c r="AR41" s="912"/>
      <c r="AS41" s="912"/>
      <c r="AT41" s="912"/>
      <c r="AU41" s="912"/>
      <c r="AV41" s="912"/>
      <c r="AW41" s="912"/>
      <c r="AX41" s="912"/>
      <c r="AY41" s="912"/>
      <c r="AZ41" s="912"/>
      <c r="BA41" s="37"/>
      <c r="BB41" s="913" t="s">
        <v>75</v>
      </c>
      <c r="BC41" s="913"/>
      <c r="BD41" s="913"/>
      <c r="BE41" s="913"/>
      <c r="BF41" s="913"/>
    </row>
    <row r="42" spans="1:58" ht="12" customHeight="1" x14ac:dyDescent="0.25">
      <c r="A42" s="914"/>
      <c r="B42" s="914"/>
      <c r="C42" s="914"/>
      <c r="D42" s="36"/>
      <c r="E42" s="915"/>
      <c r="F42" s="915"/>
      <c r="G42" s="915"/>
      <c r="H42" s="915"/>
      <c r="I42" s="915"/>
      <c r="J42" s="915"/>
      <c r="K42" s="915"/>
      <c r="L42" s="915"/>
      <c r="M42" s="915"/>
      <c r="N42" s="915"/>
      <c r="O42" s="915"/>
      <c r="P42" s="915"/>
      <c r="Q42" s="915"/>
      <c r="R42" s="915"/>
      <c r="S42" s="915"/>
      <c r="T42" s="915"/>
      <c r="U42" s="915"/>
      <c r="V42" s="915"/>
      <c r="W42" s="915"/>
      <c r="X42" s="915"/>
      <c r="Y42" s="915"/>
      <c r="Z42" s="915"/>
      <c r="AA42" s="915"/>
      <c r="AB42" s="915"/>
      <c r="AC42" s="915"/>
      <c r="AD42" s="915"/>
      <c r="AE42" s="915"/>
      <c r="AF42" s="915"/>
      <c r="AG42" s="915"/>
      <c r="AH42" s="915"/>
      <c r="AI42" s="915"/>
      <c r="AJ42" s="915"/>
      <c r="AK42" s="37"/>
      <c r="AL42" s="916"/>
      <c r="AM42" s="916"/>
      <c r="AN42" s="916"/>
      <c r="AO42" s="916"/>
      <c r="AP42" s="916"/>
      <c r="AQ42" s="916"/>
      <c r="AR42" s="916"/>
      <c r="AS42" s="916"/>
      <c r="AT42" s="916"/>
      <c r="AU42" s="916"/>
      <c r="AV42" s="916"/>
      <c r="AW42" s="916"/>
      <c r="AX42" s="916"/>
      <c r="AY42" s="916"/>
      <c r="AZ42" s="916"/>
      <c r="BA42" s="37"/>
      <c r="BB42" s="917"/>
      <c r="BC42" s="917"/>
      <c r="BD42" s="917"/>
      <c r="BE42" s="917"/>
      <c r="BF42" s="917"/>
    </row>
    <row r="43" spans="1:58" ht="12" customHeight="1" x14ac:dyDescent="0.25">
      <c r="A43" s="926"/>
      <c r="B43" s="926"/>
      <c r="C43" s="926"/>
      <c r="D43" s="36"/>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37"/>
      <c r="AL43" s="912"/>
      <c r="AM43" s="912"/>
      <c r="AN43" s="912"/>
      <c r="AO43" s="912"/>
      <c r="AP43" s="912"/>
      <c r="AQ43" s="912"/>
      <c r="AR43" s="912"/>
      <c r="AS43" s="912"/>
      <c r="AT43" s="912"/>
      <c r="AU43" s="912"/>
      <c r="AV43" s="912"/>
      <c r="AW43" s="912"/>
      <c r="AX43" s="912"/>
      <c r="AY43" s="912"/>
      <c r="AZ43" s="912"/>
      <c r="BA43" s="37"/>
      <c r="BB43" s="913"/>
      <c r="BC43" s="913"/>
      <c r="BD43" s="913"/>
      <c r="BE43" s="913"/>
      <c r="BF43" s="913"/>
    </row>
    <row r="44" spans="1:58" ht="12" customHeight="1" x14ac:dyDescent="0.25">
      <c r="A44" s="914"/>
      <c r="B44" s="914"/>
      <c r="C44" s="914"/>
      <c r="D44" s="36"/>
      <c r="E44" s="944"/>
      <c r="F44" s="944"/>
      <c r="G44" s="944"/>
      <c r="H44" s="944"/>
      <c r="I44" s="944"/>
      <c r="J44" s="944"/>
      <c r="K44" s="944"/>
      <c r="L44" s="944"/>
      <c r="M44" s="944"/>
      <c r="N44" s="944"/>
      <c r="O44" s="944"/>
      <c r="P44" s="944"/>
      <c r="Q44" s="944"/>
      <c r="R44" s="944"/>
      <c r="S44" s="944"/>
      <c r="T44" s="944"/>
      <c r="U44" s="944"/>
      <c r="V44" s="944"/>
      <c r="W44" s="944"/>
      <c r="X44" s="944"/>
      <c r="Y44" s="944"/>
      <c r="Z44" s="944"/>
      <c r="AA44" s="944"/>
      <c r="AB44" s="944"/>
      <c r="AC44" s="944"/>
      <c r="AD44" s="944"/>
      <c r="AE44" s="944"/>
      <c r="AF44" s="944"/>
      <c r="AG44" s="944"/>
      <c r="AH44" s="944"/>
      <c r="AI44" s="944"/>
      <c r="AJ44" s="944"/>
      <c r="AK44" s="37"/>
      <c r="AL44" s="916"/>
      <c r="AM44" s="916"/>
      <c r="AN44" s="916"/>
      <c r="AO44" s="916"/>
      <c r="AP44" s="916"/>
      <c r="AQ44" s="916"/>
      <c r="AR44" s="916"/>
      <c r="AS44" s="916"/>
      <c r="AT44" s="916"/>
      <c r="AU44" s="916"/>
      <c r="AV44" s="916"/>
      <c r="AW44" s="916"/>
      <c r="AX44" s="916"/>
      <c r="AY44" s="916"/>
      <c r="AZ44" s="916"/>
      <c r="BA44" s="37"/>
      <c r="BB44" s="917"/>
      <c r="BC44" s="917"/>
      <c r="BD44" s="917"/>
      <c r="BE44" s="917"/>
      <c r="BF44" s="917"/>
    </row>
    <row r="45" spans="1:58" ht="12" customHeight="1" x14ac:dyDescent="0.25">
      <c r="A45" s="926"/>
      <c r="B45" s="926"/>
      <c r="C45" s="926"/>
      <c r="D45" s="36"/>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37"/>
      <c r="AL45" s="912"/>
      <c r="AM45" s="912"/>
      <c r="AN45" s="912"/>
      <c r="AO45" s="912"/>
      <c r="AP45" s="912"/>
      <c r="AQ45" s="912"/>
      <c r="AR45" s="912"/>
      <c r="AS45" s="912"/>
      <c r="AT45" s="912"/>
      <c r="AU45" s="912"/>
      <c r="AV45" s="912"/>
      <c r="AW45" s="912"/>
      <c r="AX45" s="912"/>
      <c r="AY45" s="912"/>
      <c r="AZ45" s="912"/>
      <c r="BA45" s="37"/>
      <c r="BB45" s="913"/>
      <c r="BC45" s="913"/>
      <c r="BD45" s="913"/>
      <c r="BE45" s="913"/>
      <c r="BF45" s="913"/>
    </row>
    <row r="46" spans="1:58" ht="12" customHeight="1" x14ac:dyDescent="0.25">
      <c r="A46" s="914"/>
      <c r="B46" s="914"/>
      <c r="C46" s="914"/>
      <c r="D46" s="36"/>
      <c r="E46" s="944"/>
      <c r="F46" s="944"/>
      <c r="G46" s="944"/>
      <c r="H46" s="944"/>
      <c r="I46" s="944"/>
      <c r="J46" s="944"/>
      <c r="K46" s="944"/>
      <c r="L46" s="944"/>
      <c r="M46" s="944"/>
      <c r="N46" s="944"/>
      <c r="O46" s="944"/>
      <c r="P46" s="944"/>
      <c r="Q46" s="944"/>
      <c r="R46" s="944"/>
      <c r="S46" s="944"/>
      <c r="T46" s="944"/>
      <c r="U46" s="944"/>
      <c r="V46" s="944"/>
      <c r="W46" s="944"/>
      <c r="X46" s="944"/>
      <c r="Y46" s="944"/>
      <c r="Z46" s="944"/>
      <c r="AA46" s="944"/>
      <c r="AB46" s="944"/>
      <c r="AC46" s="944"/>
      <c r="AD46" s="944"/>
      <c r="AE46" s="944"/>
      <c r="AF46" s="944"/>
      <c r="AG46" s="944"/>
      <c r="AH46" s="944"/>
      <c r="AI46" s="944"/>
      <c r="AJ46" s="944"/>
      <c r="AK46" s="37"/>
      <c r="AL46" s="916"/>
      <c r="AM46" s="916"/>
      <c r="AN46" s="916"/>
      <c r="AO46" s="916"/>
      <c r="AP46" s="916"/>
      <c r="AQ46" s="916"/>
      <c r="AR46" s="916"/>
      <c r="AS46" s="916"/>
      <c r="AT46" s="916"/>
      <c r="AU46" s="916"/>
      <c r="AV46" s="916"/>
      <c r="AW46" s="916"/>
      <c r="AX46" s="916"/>
      <c r="AY46" s="916"/>
      <c r="AZ46" s="916"/>
      <c r="BA46" s="37"/>
      <c r="BB46" s="917"/>
      <c r="BC46" s="917"/>
      <c r="BD46" s="917"/>
      <c r="BE46" s="917"/>
      <c r="BF46" s="917"/>
    </row>
    <row r="47" spans="1:58" ht="12" customHeight="1" x14ac:dyDescent="0.25">
      <c r="A47" s="926"/>
      <c r="B47" s="926"/>
      <c r="C47" s="926"/>
      <c r="D47" s="36"/>
      <c r="E47" s="945"/>
      <c r="F47" s="945"/>
      <c r="G47" s="945"/>
      <c r="H47" s="945"/>
      <c r="I47" s="945"/>
      <c r="J47" s="945"/>
      <c r="K47" s="945"/>
      <c r="L47" s="945"/>
      <c r="M47" s="945"/>
      <c r="N47" s="945"/>
      <c r="O47" s="945"/>
      <c r="P47" s="945"/>
      <c r="Q47" s="945"/>
      <c r="R47" s="945"/>
      <c r="S47" s="945"/>
      <c r="T47" s="945"/>
      <c r="U47" s="945"/>
      <c r="V47" s="945"/>
      <c r="W47" s="945"/>
      <c r="X47" s="945"/>
      <c r="Y47" s="945"/>
      <c r="Z47" s="945"/>
      <c r="AA47" s="945"/>
      <c r="AB47" s="945"/>
      <c r="AC47" s="945"/>
      <c r="AD47" s="945"/>
      <c r="AE47" s="945"/>
      <c r="AF47" s="945"/>
      <c r="AG47" s="945"/>
      <c r="AH47" s="945"/>
      <c r="AI47" s="945"/>
      <c r="AJ47" s="945"/>
      <c r="AK47" s="37"/>
      <c r="AL47" s="912"/>
      <c r="AM47" s="912"/>
      <c r="AN47" s="912"/>
      <c r="AO47" s="912"/>
      <c r="AP47" s="912"/>
      <c r="AQ47" s="912"/>
      <c r="AR47" s="912"/>
      <c r="AS47" s="912"/>
      <c r="AT47" s="912"/>
      <c r="AU47" s="912"/>
      <c r="AV47" s="912"/>
      <c r="AW47" s="912"/>
      <c r="AX47" s="912"/>
      <c r="AY47" s="912"/>
      <c r="AZ47" s="912"/>
      <c r="BA47" s="37"/>
      <c r="BB47" s="913"/>
      <c r="BC47" s="913"/>
      <c r="BD47" s="913"/>
      <c r="BE47" s="913"/>
      <c r="BF47" s="913"/>
    </row>
    <row r="48" spans="1:58" ht="12" customHeight="1" x14ac:dyDescent="0.25">
      <c r="A48" s="914"/>
      <c r="B48" s="914"/>
      <c r="C48" s="914"/>
      <c r="D48" s="36"/>
      <c r="E48" s="944"/>
      <c r="F48" s="944"/>
      <c r="G48" s="944"/>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37"/>
      <c r="AL48" s="916"/>
      <c r="AM48" s="916"/>
      <c r="AN48" s="916"/>
      <c r="AO48" s="916"/>
      <c r="AP48" s="916"/>
      <c r="AQ48" s="916"/>
      <c r="AR48" s="916"/>
      <c r="AS48" s="916"/>
      <c r="AT48" s="916"/>
      <c r="AU48" s="916"/>
      <c r="AV48" s="916"/>
      <c r="AW48" s="916"/>
      <c r="AX48" s="916"/>
      <c r="AY48" s="916"/>
      <c r="AZ48" s="916"/>
      <c r="BA48" s="37"/>
      <c r="BB48" s="917"/>
      <c r="BC48" s="917"/>
      <c r="BD48" s="917"/>
      <c r="BE48" s="917"/>
      <c r="BF48" s="917"/>
    </row>
    <row r="49" spans="1:58" ht="12" customHeight="1" x14ac:dyDescent="0.25">
      <c r="A49" s="926"/>
      <c r="B49" s="926"/>
      <c r="C49" s="926"/>
      <c r="D49" s="36"/>
      <c r="E49" s="911"/>
      <c r="F49" s="911"/>
      <c r="G49" s="911"/>
      <c r="H49" s="911"/>
      <c r="I49" s="911"/>
      <c r="J49" s="911"/>
      <c r="K49" s="911"/>
      <c r="L49" s="911"/>
      <c r="M49" s="911"/>
      <c r="N49" s="911"/>
      <c r="O49" s="911"/>
      <c r="P49" s="911"/>
      <c r="Q49" s="911"/>
      <c r="R49" s="911"/>
      <c r="S49" s="911"/>
      <c r="T49" s="911"/>
      <c r="U49" s="911"/>
      <c r="V49" s="911"/>
      <c r="W49" s="911"/>
      <c r="X49" s="911"/>
      <c r="Y49" s="911"/>
      <c r="Z49" s="911"/>
      <c r="AA49" s="911"/>
      <c r="AB49" s="911"/>
      <c r="AC49" s="911"/>
      <c r="AD49" s="911"/>
      <c r="AE49" s="911"/>
      <c r="AF49" s="911"/>
      <c r="AG49" s="911"/>
      <c r="AH49" s="911"/>
      <c r="AI49" s="911"/>
      <c r="AJ49" s="911"/>
      <c r="AK49" s="37"/>
      <c r="AL49" s="912"/>
      <c r="AM49" s="912"/>
      <c r="AN49" s="912"/>
      <c r="AO49" s="912"/>
      <c r="AP49" s="912"/>
      <c r="AQ49" s="912"/>
      <c r="AR49" s="912"/>
      <c r="AS49" s="912"/>
      <c r="AT49" s="912"/>
      <c r="AU49" s="912"/>
      <c r="AV49" s="912"/>
      <c r="AW49" s="912"/>
      <c r="AX49" s="912"/>
      <c r="AY49" s="912"/>
      <c r="AZ49" s="912"/>
      <c r="BA49" s="37"/>
      <c r="BB49" s="913"/>
      <c r="BC49" s="913"/>
      <c r="BD49" s="913"/>
      <c r="BE49" s="913"/>
      <c r="BF49" s="913"/>
    </row>
    <row r="50" spans="1:58" ht="12" customHeight="1" x14ac:dyDescent="0.25">
      <c r="A50" s="914"/>
      <c r="B50" s="914"/>
      <c r="C50" s="914"/>
      <c r="D50" s="36"/>
      <c r="E50" s="915"/>
      <c r="F50" s="915"/>
      <c r="G50" s="915"/>
      <c r="H50" s="915"/>
      <c r="I50" s="915"/>
      <c r="J50" s="915"/>
      <c r="K50" s="915"/>
      <c r="L50" s="915"/>
      <c r="M50" s="915"/>
      <c r="N50" s="915"/>
      <c r="O50" s="915"/>
      <c r="P50" s="915"/>
      <c r="Q50" s="915"/>
      <c r="R50" s="915"/>
      <c r="S50" s="915"/>
      <c r="T50" s="915"/>
      <c r="U50" s="915"/>
      <c r="V50" s="915"/>
      <c r="W50" s="915"/>
      <c r="X50" s="915"/>
      <c r="Y50" s="915"/>
      <c r="Z50" s="915"/>
      <c r="AA50" s="915"/>
      <c r="AB50" s="915"/>
      <c r="AC50" s="915"/>
      <c r="AD50" s="915"/>
      <c r="AE50" s="915"/>
      <c r="AF50" s="915"/>
      <c r="AG50" s="915"/>
      <c r="AH50" s="915"/>
      <c r="AI50" s="915"/>
      <c r="AJ50" s="915"/>
      <c r="AK50" s="37"/>
      <c r="AL50" s="916"/>
      <c r="AM50" s="916"/>
      <c r="AN50" s="916"/>
      <c r="AO50" s="916"/>
      <c r="AP50" s="916"/>
      <c r="AQ50" s="916"/>
      <c r="AR50" s="916"/>
      <c r="AS50" s="916"/>
      <c r="AT50" s="916"/>
      <c r="AU50" s="916"/>
      <c r="AV50" s="916"/>
      <c r="AW50" s="916"/>
      <c r="AX50" s="916"/>
      <c r="AY50" s="916"/>
      <c r="AZ50" s="916"/>
      <c r="BA50" s="37"/>
      <c r="BB50" s="917"/>
      <c r="BC50" s="917"/>
      <c r="BD50" s="917"/>
      <c r="BE50" s="917"/>
      <c r="BF50" s="917"/>
    </row>
    <row r="51" spans="1:58" ht="12" customHeight="1" x14ac:dyDescent="0.25">
      <c r="A51" s="926"/>
      <c r="B51" s="926"/>
      <c r="C51" s="926"/>
      <c r="D51" s="36"/>
      <c r="E51" s="911"/>
      <c r="F51" s="911"/>
      <c r="G51" s="911"/>
      <c r="H51" s="911"/>
      <c r="I51" s="911"/>
      <c r="J51" s="911"/>
      <c r="K51" s="911"/>
      <c r="L51" s="911"/>
      <c r="M51" s="911"/>
      <c r="N51" s="911"/>
      <c r="O51" s="911"/>
      <c r="P51" s="911"/>
      <c r="Q51" s="911"/>
      <c r="R51" s="911"/>
      <c r="S51" s="911"/>
      <c r="T51" s="911"/>
      <c r="U51" s="911"/>
      <c r="V51" s="911"/>
      <c r="W51" s="911"/>
      <c r="X51" s="911"/>
      <c r="Y51" s="911"/>
      <c r="Z51" s="911"/>
      <c r="AA51" s="911"/>
      <c r="AB51" s="911"/>
      <c r="AC51" s="911"/>
      <c r="AD51" s="911"/>
      <c r="AE51" s="911"/>
      <c r="AF51" s="911"/>
      <c r="AG51" s="911"/>
      <c r="AH51" s="911"/>
      <c r="AI51" s="911"/>
      <c r="AJ51" s="911"/>
      <c r="AK51" s="37"/>
      <c r="AL51" s="912"/>
      <c r="AM51" s="912"/>
      <c r="AN51" s="912"/>
      <c r="AO51" s="912"/>
      <c r="AP51" s="912"/>
      <c r="AQ51" s="912"/>
      <c r="AR51" s="912"/>
      <c r="AS51" s="912"/>
      <c r="AT51" s="912"/>
      <c r="AU51" s="912"/>
      <c r="AV51" s="912"/>
      <c r="AW51" s="912"/>
      <c r="AX51" s="912"/>
      <c r="AY51" s="912"/>
      <c r="AZ51" s="912"/>
      <c r="BA51" s="37"/>
      <c r="BB51" s="913"/>
      <c r="BC51" s="913"/>
      <c r="BD51" s="913"/>
      <c r="BE51" s="913"/>
      <c r="BF51" s="913"/>
    </row>
    <row r="52" spans="1:58" ht="12" customHeight="1" thickBot="1" x14ac:dyDescent="0.3">
      <c r="A52" s="940"/>
      <c r="B52" s="940"/>
      <c r="C52" s="940"/>
      <c r="D52" s="38"/>
      <c r="E52" s="941"/>
      <c r="F52" s="941"/>
      <c r="G52" s="941"/>
      <c r="H52" s="941"/>
      <c r="I52" s="941"/>
      <c r="J52" s="941"/>
      <c r="K52" s="941"/>
      <c r="L52" s="941"/>
      <c r="M52" s="941"/>
      <c r="N52" s="941"/>
      <c r="O52" s="941"/>
      <c r="P52" s="941"/>
      <c r="Q52" s="941"/>
      <c r="R52" s="941"/>
      <c r="S52" s="941"/>
      <c r="T52" s="941"/>
      <c r="U52" s="941"/>
      <c r="V52" s="941"/>
      <c r="W52" s="941"/>
      <c r="X52" s="941"/>
      <c r="Y52" s="941"/>
      <c r="Z52" s="941"/>
      <c r="AA52" s="941"/>
      <c r="AB52" s="941"/>
      <c r="AC52" s="941"/>
      <c r="AD52" s="941"/>
      <c r="AE52" s="941"/>
      <c r="AF52" s="941"/>
      <c r="AG52" s="941"/>
      <c r="AH52" s="941"/>
      <c r="AI52" s="941"/>
      <c r="AJ52" s="941"/>
      <c r="AK52" s="39"/>
      <c r="AL52" s="942"/>
      <c r="AM52" s="942"/>
      <c r="AN52" s="942"/>
      <c r="AO52" s="942"/>
      <c r="AP52" s="942"/>
      <c r="AQ52" s="942"/>
      <c r="AR52" s="942"/>
      <c r="AS52" s="942"/>
      <c r="AT52" s="942"/>
      <c r="AU52" s="942"/>
      <c r="AV52" s="942"/>
      <c r="AW52" s="942"/>
      <c r="AX52" s="942"/>
      <c r="AY52" s="942"/>
      <c r="AZ52" s="942"/>
      <c r="BA52" s="39"/>
      <c r="BB52" s="943"/>
      <c r="BC52" s="943"/>
      <c r="BD52" s="943"/>
      <c r="BE52" s="943"/>
      <c r="BF52" s="943"/>
    </row>
    <row r="53" spans="1:58" ht="4.5" customHeight="1" thickBot="1" x14ac:dyDescent="0.3">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40"/>
      <c r="BC53" s="40"/>
      <c r="BD53" s="40"/>
      <c r="BE53" s="40"/>
      <c r="BF53" s="40"/>
    </row>
    <row r="54" spans="1:58" s="41" customFormat="1" ht="12" customHeight="1" thickBot="1" x14ac:dyDescent="0.3">
      <c r="A54" s="933" t="s">
        <v>150</v>
      </c>
      <c r="B54" s="933"/>
      <c r="C54" s="933"/>
      <c r="D54" s="57"/>
      <c r="E54" s="934" t="s">
        <v>164</v>
      </c>
      <c r="F54" s="934"/>
      <c r="G54" s="934"/>
      <c r="H54" s="934"/>
      <c r="I54" s="934"/>
      <c r="J54" s="934"/>
      <c r="K54" s="934"/>
      <c r="L54" s="934"/>
      <c r="M54" s="934"/>
      <c r="N54" s="934"/>
      <c r="O54" s="934"/>
      <c r="P54" s="934"/>
      <c r="Q54" s="934"/>
      <c r="R54" s="934"/>
      <c r="S54" s="934"/>
      <c r="T54" s="934"/>
      <c r="U54" s="934"/>
      <c r="V54" s="934"/>
      <c r="W54" s="934"/>
      <c r="X54" s="934"/>
      <c r="Y54" s="934"/>
      <c r="Z54" s="934"/>
      <c r="AA54" s="934"/>
      <c r="AB54" s="934"/>
      <c r="AC54" s="934"/>
      <c r="AD54" s="934"/>
      <c r="AE54" s="934"/>
      <c r="AF54" s="934"/>
      <c r="AG54" s="934"/>
      <c r="AH54" s="934"/>
      <c r="AI54" s="934"/>
      <c r="AJ54" s="934"/>
      <c r="AK54" s="57"/>
      <c r="AL54" s="935" t="s">
        <v>152</v>
      </c>
      <c r="AM54" s="935"/>
      <c r="AN54" s="935"/>
      <c r="AO54" s="935"/>
      <c r="AP54" s="935"/>
      <c r="AQ54" s="935"/>
      <c r="AR54" s="935"/>
      <c r="AS54" s="935"/>
      <c r="AT54" s="935"/>
      <c r="AU54" s="935"/>
      <c r="AV54" s="935"/>
      <c r="AW54" s="935"/>
      <c r="AX54" s="935"/>
      <c r="AY54" s="935"/>
      <c r="AZ54" s="935"/>
      <c r="BA54" s="57"/>
      <c r="BB54" s="925" t="s">
        <v>6</v>
      </c>
      <c r="BC54" s="925"/>
      <c r="BD54" s="925"/>
      <c r="BE54" s="925"/>
      <c r="BF54" s="925"/>
    </row>
    <row r="55" spans="1:58" ht="12" customHeight="1" x14ac:dyDescent="0.25">
      <c r="A55" s="936">
        <v>1</v>
      </c>
      <c r="B55" s="936"/>
      <c r="C55" s="936"/>
      <c r="D55" s="36"/>
      <c r="E55" s="937" t="s">
        <v>1092</v>
      </c>
      <c r="F55" s="937"/>
      <c r="G55" s="937"/>
      <c r="H55" s="937"/>
      <c r="I55" s="937"/>
      <c r="J55" s="937"/>
      <c r="K55" s="937"/>
      <c r="L55" s="937"/>
      <c r="M55" s="937"/>
      <c r="N55" s="937"/>
      <c r="O55" s="937"/>
      <c r="P55" s="937"/>
      <c r="Q55" s="937"/>
      <c r="R55" s="937"/>
      <c r="S55" s="937"/>
      <c r="T55" s="937"/>
      <c r="U55" s="937"/>
      <c r="V55" s="937"/>
      <c r="W55" s="937"/>
      <c r="X55" s="937"/>
      <c r="Y55" s="937"/>
      <c r="Z55" s="937"/>
      <c r="AA55" s="937"/>
      <c r="AB55" s="937"/>
      <c r="AC55" s="937"/>
      <c r="AD55" s="937"/>
      <c r="AE55" s="937"/>
      <c r="AF55" s="937"/>
      <c r="AG55" s="937"/>
      <c r="AH55" s="937"/>
      <c r="AI55" s="937"/>
      <c r="AJ55" s="937"/>
      <c r="AK55" s="37"/>
      <c r="AL55" s="938" t="s">
        <v>163</v>
      </c>
      <c r="AM55" s="938"/>
      <c r="AN55" s="938"/>
      <c r="AO55" s="938"/>
      <c r="AP55" s="938"/>
      <c r="AQ55" s="938"/>
      <c r="AR55" s="938"/>
      <c r="AS55" s="938"/>
      <c r="AT55" s="938"/>
      <c r="AU55" s="938"/>
      <c r="AV55" s="938"/>
      <c r="AW55" s="938"/>
      <c r="AX55" s="938"/>
      <c r="AY55" s="938"/>
      <c r="AZ55" s="938"/>
      <c r="BA55" s="37"/>
      <c r="BB55" s="939" t="s">
        <v>75</v>
      </c>
      <c r="BC55" s="939"/>
      <c r="BD55" s="939"/>
      <c r="BE55" s="939"/>
      <c r="BF55" s="939"/>
    </row>
    <row r="56" spans="1:58" ht="12" customHeight="1" x14ac:dyDescent="0.25">
      <c r="A56" s="914"/>
      <c r="B56" s="914"/>
      <c r="C56" s="914"/>
      <c r="D56" s="36"/>
      <c r="E56" s="915"/>
      <c r="F56" s="915"/>
      <c r="G56" s="915"/>
      <c r="H56" s="915"/>
      <c r="I56" s="915"/>
      <c r="J56" s="915"/>
      <c r="K56" s="915"/>
      <c r="L56" s="915"/>
      <c r="M56" s="915"/>
      <c r="N56" s="915"/>
      <c r="O56" s="915"/>
      <c r="P56" s="915"/>
      <c r="Q56" s="915"/>
      <c r="R56" s="915"/>
      <c r="S56" s="915"/>
      <c r="T56" s="915"/>
      <c r="U56" s="915"/>
      <c r="V56" s="915"/>
      <c r="W56" s="915"/>
      <c r="X56" s="915"/>
      <c r="Y56" s="915"/>
      <c r="Z56" s="915"/>
      <c r="AA56" s="915"/>
      <c r="AB56" s="915"/>
      <c r="AC56" s="915"/>
      <c r="AD56" s="915"/>
      <c r="AE56" s="915"/>
      <c r="AF56" s="915"/>
      <c r="AG56" s="915"/>
      <c r="AH56" s="915"/>
      <c r="AI56" s="915"/>
      <c r="AJ56" s="915"/>
      <c r="AK56" s="37"/>
      <c r="AL56" s="916"/>
      <c r="AM56" s="916"/>
      <c r="AN56" s="916"/>
      <c r="AO56" s="916"/>
      <c r="AP56" s="916"/>
      <c r="AQ56" s="916"/>
      <c r="AR56" s="916"/>
      <c r="AS56" s="916"/>
      <c r="AT56" s="916"/>
      <c r="AU56" s="916"/>
      <c r="AV56" s="916"/>
      <c r="AW56" s="916"/>
      <c r="AX56" s="916"/>
      <c r="AY56" s="916"/>
      <c r="AZ56" s="916"/>
      <c r="BA56" s="37"/>
      <c r="BB56" s="917"/>
      <c r="BC56" s="917"/>
      <c r="BD56" s="917"/>
      <c r="BE56" s="917"/>
      <c r="BF56" s="917"/>
    </row>
    <row r="57" spans="1:58" ht="12" customHeight="1" x14ac:dyDescent="0.25">
      <c r="A57" s="926"/>
      <c r="B57" s="926"/>
      <c r="C57" s="926"/>
      <c r="D57" s="36"/>
      <c r="E57" s="911"/>
      <c r="F57" s="911"/>
      <c r="G57" s="911"/>
      <c r="H57" s="911"/>
      <c r="I57" s="911"/>
      <c r="J57" s="911"/>
      <c r="K57" s="911"/>
      <c r="L57" s="911"/>
      <c r="M57" s="911"/>
      <c r="N57" s="911"/>
      <c r="O57" s="911"/>
      <c r="P57" s="911"/>
      <c r="Q57" s="911"/>
      <c r="R57" s="911"/>
      <c r="S57" s="911"/>
      <c r="T57" s="911"/>
      <c r="U57" s="911"/>
      <c r="V57" s="911"/>
      <c r="W57" s="911"/>
      <c r="X57" s="911"/>
      <c r="Y57" s="911"/>
      <c r="Z57" s="911"/>
      <c r="AA57" s="911"/>
      <c r="AB57" s="911"/>
      <c r="AC57" s="911"/>
      <c r="AD57" s="911"/>
      <c r="AE57" s="911"/>
      <c r="AF57" s="911"/>
      <c r="AG57" s="911"/>
      <c r="AH57" s="911"/>
      <c r="AI57" s="911"/>
      <c r="AJ57" s="911"/>
      <c r="AK57" s="37"/>
      <c r="AL57" s="912"/>
      <c r="AM57" s="912"/>
      <c r="AN57" s="912"/>
      <c r="AO57" s="912"/>
      <c r="AP57" s="912"/>
      <c r="AQ57" s="912"/>
      <c r="AR57" s="912"/>
      <c r="AS57" s="912"/>
      <c r="AT57" s="912"/>
      <c r="AU57" s="912"/>
      <c r="AV57" s="912"/>
      <c r="AW57" s="912"/>
      <c r="AX57" s="912"/>
      <c r="AY57" s="912"/>
      <c r="AZ57" s="912"/>
      <c r="BA57" s="37"/>
      <c r="BB57" s="913"/>
      <c r="BC57" s="913"/>
      <c r="BD57" s="913"/>
      <c r="BE57" s="913"/>
      <c r="BF57" s="913"/>
    </row>
    <row r="58" spans="1:58" ht="12" customHeight="1" x14ac:dyDescent="0.25">
      <c r="A58" s="914"/>
      <c r="B58" s="914"/>
      <c r="C58" s="914"/>
      <c r="D58" s="36"/>
      <c r="E58" s="915"/>
      <c r="F58" s="915"/>
      <c r="G58" s="915"/>
      <c r="H58" s="915"/>
      <c r="I58" s="915"/>
      <c r="J58" s="915"/>
      <c r="K58" s="915"/>
      <c r="L58" s="915"/>
      <c r="M58" s="915"/>
      <c r="N58" s="915"/>
      <c r="O58" s="915"/>
      <c r="P58" s="915"/>
      <c r="Q58" s="915"/>
      <c r="R58" s="915"/>
      <c r="S58" s="915"/>
      <c r="T58" s="915"/>
      <c r="U58" s="915"/>
      <c r="V58" s="915"/>
      <c r="W58" s="915"/>
      <c r="X58" s="915"/>
      <c r="Y58" s="915"/>
      <c r="Z58" s="915"/>
      <c r="AA58" s="915"/>
      <c r="AB58" s="915"/>
      <c r="AC58" s="915"/>
      <c r="AD58" s="915"/>
      <c r="AE58" s="915"/>
      <c r="AF58" s="915"/>
      <c r="AG58" s="915"/>
      <c r="AH58" s="915"/>
      <c r="AI58" s="915"/>
      <c r="AJ58" s="915"/>
      <c r="AK58" s="37"/>
      <c r="AL58" s="916"/>
      <c r="AM58" s="916"/>
      <c r="AN58" s="916"/>
      <c r="AO58" s="916"/>
      <c r="AP58" s="916"/>
      <c r="AQ58" s="916"/>
      <c r="AR58" s="916"/>
      <c r="AS58" s="916"/>
      <c r="AT58" s="916"/>
      <c r="AU58" s="916"/>
      <c r="AV58" s="916"/>
      <c r="AW58" s="916"/>
      <c r="AX58" s="916"/>
      <c r="AY58" s="916"/>
      <c r="AZ58" s="916"/>
      <c r="BA58" s="37"/>
      <c r="BB58" s="917"/>
      <c r="BC58" s="917"/>
      <c r="BD58" s="917"/>
      <c r="BE58" s="917"/>
      <c r="BF58" s="917"/>
    </row>
    <row r="59" spans="1:58" ht="12" customHeight="1" x14ac:dyDescent="0.25">
      <c r="A59" s="926"/>
      <c r="B59" s="926"/>
      <c r="C59" s="926"/>
      <c r="D59" s="36"/>
      <c r="E59" s="911"/>
      <c r="F59" s="911"/>
      <c r="G59" s="911"/>
      <c r="H59" s="911"/>
      <c r="I59" s="911"/>
      <c r="J59" s="911"/>
      <c r="K59" s="911"/>
      <c r="L59" s="911"/>
      <c r="M59" s="911"/>
      <c r="N59" s="911"/>
      <c r="O59" s="911"/>
      <c r="P59" s="911"/>
      <c r="Q59" s="911"/>
      <c r="R59" s="911"/>
      <c r="S59" s="911"/>
      <c r="T59" s="911"/>
      <c r="U59" s="911"/>
      <c r="V59" s="911"/>
      <c r="W59" s="911"/>
      <c r="X59" s="911"/>
      <c r="Y59" s="911"/>
      <c r="Z59" s="911"/>
      <c r="AA59" s="911"/>
      <c r="AB59" s="911"/>
      <c r="AC59" s="911"/>
      <c r="AD59" s="911"/>
      <c r="AE59" s="911"/>
      <c r="AF59" s="911"/>
      <c r="AG59" s="911"/>
      <c r="AH59" s="911"/>
      <c r="AI59" s="911"/>
      <c r="AJ59" s="911"/>
      <c r="AK59" s="37"/>
      <c r="AL59" s="912"/>
      <c r="AM59" s="912"/>
      <c r="AN59" s="912"/>
      <c r="AO59" s="912"/>
      <c r="AP59" s="912"/>
      <c r="AQ59" s="912"/>
      <c r="AR59" s="912"/>
      <c r="AS59" s="912"/>
      <c r="AT59" s="912"/>
      <c r="AU59" s="912"/>
      <c r="AV59" s="912"/>
      <c r="AW59" s="912"/>
      <c r="AX59" s="912"/>
      <c r="AY59" s="912"/>
      <c r="AZ59" s="912"/>
      <c r="BA59" s="37"/>
      <c r="BB59" s="913"/>
      <c r="BC59" s="913"/>
      <c r="BD59" s="913"/>
      <c r="BE59" s="913"/>
      <c r="BF59" s="913"/>
    </row>
    <row r="60" spans="1:58" ht="12" customHeight="1" x14ac:dyDescent="0.25">
      <c r="A60" s="914"/>
      <c r="B60" s="914"/>
      <c r="C60" s="914"/>
      <c r="D60" s="36"/>
      <c r="E60" s="915"/>
      <c r="F60" s="915"/>
      <c r="G60" s="915"/>
      <c r="H60" s="915"/>
      <c r="I60" s="915"/>
      <c r="J60" s="915"/>
      <c r="K60" s="915"/>
      <c r="L60" s="915"/>
      <c r="M60" s="915"/>
      <c r="N60" s="915"/>
      <c r="O60" s="915"/>
      <c r="P60" s="915"/>
      <c r="Q60" s="915"/>
      <c r="R60" s="915"/>
      <c r="S60" s="915"/>
      <c r="T60" s="915"/>
      <c r="U60" s="915"/>
      <c r="V60" s="915"/>
      <c r="W60" s="915"/>
      <c r="X60" s="915"/>
      <c r="Y60" s="915"/>
      <c r="Z60" s="915"/>
      <c r="AA60" s="915"/>
      <c r="AB60" s="915"/>
      <c r="AC60" s="915"/>
      <c r="AD60" s="915"/>
      <c r="AE60" s="915"/>
      <c r="AF60" s="915"/>
      <c r="AG60" s="915"/>
      <c r="AH60" s="915"/>
      <c r="AI60" s="915"/>
      <c r="AJ60" s="915"/>
      <c r="AK60" s="37"/>
      <c r="AL60" s="916"/>
      <c r="AM60" s="916"/>
      <c r="AN60" s="916"/>
      <c r="AO60" s="916"/>
      <c r="AP60" s="916"/>
      <c r="AQ60" s="916"/>
      <c r="AR60" s="916"/>
      <c r="AS60" s="916"/>
      <c r="AT60" s="916"/>
      <c r="AU60" s="916"/>
      <c r="AV60" s="916"/>
      <c r="AW60" s="916"/>
      <c r="AX60" s="916"/>
      <c r="AY60" s="916"/>
      <c r="AZ60" s="916"/>
      <c r="BA60" s="37"/>
      <c r="BB60" s="917"/>
      <c r="BC60" s="917"/>
      <c r="BD60" s="917"/>
      <c r="BE60" s="917"/>
      <c r="BF60" s="917"/>
    </row>
    <row r="61" spans="1:58" ht="12" customHeight="1" x14ac:dyDescent="0.25">
      <c r="A61" s="926"/>
      <c r="B61" s="926"/>
      <c r="C61" s="926"/>
      <c r="D61" s="36"/>
      <c r="E61" s="911"/>
      <c r="F61" s="911"/>
      <c r="G61" s="911"/>
      <c r="H61" s="911"/>
      <c r="I61" s="911"/>
      <c r="J61" s="911"/>
      <c r="K61" s="911"/>
      <c r="L61" s="911"/>
      <c r="M61" s="911"/>
      <c r="N61" s="911"/>
      <c r="O61" s="911"/>
      <c r="P61" s="911"/>
      <c r="Q61" s="911"/>
      <c r="R61" s="911"/>
      <c r="S61" s="911"/>
      <c r="T61" s="911"/>
      <c r="U61" s="911"/>
      <c r="V61" s="911"/>
      <c r="W61" s="911"/>
      <c r="X61" s="911"/>
      <c r="Y61" s="911"/>
      <c r="Z61" s="911"/>
      <c r="AA61" s="911"/>
      <c r="AB61" s="911"/>
      <c r="AC61" s="911"/>
      <c r="AD61" s="911"/>
      <c r="AE61" s="911"/>
      <c r="AF61" s="911"/>
      <c r="AG61" s="911"/>
      <c r="AH61" s="911"/>
      <c r="AI61" s="911"/>
      <c r="AJ61" s="911"/>
      <c r="AK61" s="37"/>
      <c r="AL61" s="912"/>
      <c r="AM61" s="912"/>
      <c r="AN61" s="912"/>
      <c r="AO61" s="912"/>
      <c r="AP61" s="912"/>
      <c r="AQ61" s="912"/>
      <c r="AR61" s="912"/>
      <c r="AS61" s="912"/>
      <c r="AT61" s="912"/>
      <c r="AU61" s="912"/>
      <c r="AV61" s="912"/>
      <c r="AW61" s="912"/>
      <c r="AX61" s="912"/>
      <c r="AY61" s="912"/>
      <c r="AZ61" s="912"/>
      <c r="BA61" s="37"/>
      <c r="BB61" s="913"/>
      <c r="BC61" s="913"/>
      <c r="BD61" s="913"/>
      <c r="BE61" s="913"/>
      <c r="BF61" s="913"/>
    </row>
    <row r="62" spans="1:58" ht="12" customHeight="1" x14ac:dyDescent="0.25">
      <c r="A62" s="914"/>
      <c r="B62" s="914"/>
      <c r="C62" s="914"/>
      <c r="D62" s="36"/>
      <c r="E62" s="915"/>
      <c r="F62" s="915"/>
      <c r="G62" s="915"/>
      <c r="H62" s="915"/>
      <c r="I62" s="915"/>
      <c r="J62" s="915"/>
      <c r="K62" s="915"/>
      <c r="L62" s="915"/>
      <c r="M62" s="915"/>
      <c r="N62" s="915"/>
      <c r="O62" s="915"/>
      <c r="P62" s="915"/>
      <c r="Q62" s="915"/>
      <c r="R62" s="915"/>
      <c r="S62" s="915"/>
      <c r="T62" s="915"/>
      <c r="U62" s="915"/>
      <c r="V62" s="915"/>
      <c r="W62" s="915"/>
      <c r="X62" s="915"/>
      <c r="Y62" s="915"/>
      <c r="Z62" s="915"/>
      <c r="AA62" s="915"/>
      <c r="AB62" s="915"/>
      <c r="AC62" s="915"/>
      <c r="AD62" s="915"/>
      <c r="AE62" s="915"/>
      <c r="AF62" s="915"/>
      <c r="AG62" s="915"/>
      <c r="AH62" s="915"/>
      <c r="AI62" s="915"/>
      <c r="AJ62" s="915"/>
      <c r="AK62" s="37"/>
      <c r="AL62" s="916"/>
      <c r="AM62" s="916"/>
      <c r="AN62" s="916"/>
      <c r="AO62" s="916"/>
      <c r="AP62" s="916"/>
      <c r="AQ62" s="916"/>
      <c r="AR62" s="916"/>
      <c r="AS62" s="916"/>
      <c r="AT62" s="916"/>
      <c r="AU62" s="916"/>
      <c r="AV62" s="916"/>
      <c r="AW62" s="916"/>
      <c r="AX62" s="916"/>
      <c r="AY62" s="916"/>
      <c r="AZ62" s="916"/>
      <c r="BA62" s="37"/>
      <c r="BB62" s="917"/>
      <c r="BC62" s="917"/>
      <c r="BD62" s="917"/>
      <c r="BE62" s="917"/>
      <c r="BF62" s="917"/>
    </row>
    <row r="63" spans="1:58" ht="12" customHeight="1" x14ac:dyDescent="0.25">
      <c r="A63" s="926"/>
      <c r="B63" s="926"/>
      <c r="C63" s="926"/>
      <c r="D63" s="36"/>
      <c r="E63" s="911"/>
      <c r="F63" s="911"/>
      <c r="G63" s="911"/>
      <c r="H63" s="911"/>
      <c r="I63" s="911"/>
      <c r="J63" s="911"/>
      <c r="K63" s="911"/>
      <c r="L63" s="911"/>
      <c r="M63" s="911"/>
      <c r="N63" s="911"/>
      <c r="O63" s="911"/>
      <c r="P63" s="911"/>
      <c r="Q63" s="911"/>
      <c r="R63" s="911"/>
      <c r="S63" s="911"/>
      <c r="T63" s="911"/>
      <c r="U63" s="911"/>
      <c r="V63" s="911"/>
      <c r="W63" s="911"/>
      <c r="X63" s="911"/>
      <c r="Y63" s="911"/>
      <c r="Z63" s="911"/>
      <c r="AA63" s="911"/>
      <c r="AB63" s="911"/>
      <c r="AC63" s="911"/>
      <c r="AD63" s="911"/>
      <c r="AE63" s="911"/>
      <c r="AF63" s="911"/>
      <c r="AG63" s="911"/>
      <c r="AH63" s="911"/>
      <c r="AI63" s="911"/>
      <c r="AJ63" s="911"/>
      <c r="AK63" s="37"/>
      <c r="AL63" s="912"/>
      <c r="AM63" s="912"/>
      <c r="AN63" s="912"/>
      <c r="AO63" s="912"/>
      <c r="AP63" s="912"/>
      <c r="AQ63" s="912"/>
      <c r="AR63" s="912"/>
      <c r="AS63" s="912"/>
      <c r="AT63" s="912"/>
      <c r="AU63" s="912"/>
      <c r="AV63" s="912"/>
      <c r="AW63" s="912"/>
      <c r="AX63" s="912"/>
      <c r="AY63" s="912"/>
      <c r="AZ63" s="912"/>
      <c r="BA63" s="37"/>
      <c r="BB63" s="913"/>
      <c r="BC63" s="913"/>
      <c r="BD63" s="913"/>
      <c r="BE63" s="913"/>
      <c r="BF63" s="913"/>
    </row>
    <row r="64" spans="1:58" ht="12" customHeight="1" x14ac:dyDescent="0.25">
      <c r="A64" s="914"/>
      <c r="B64" s="914"/>
      <c r="C64" s="914"/>
      <c r="D64" s="36"/>
      <c r="E64" s="915"/>
      <c r="F64" s="915"/>
      <c r="G64" s="915"/>
      <c r="H64" s="915"/>
      <c r="I64" s="915"/>
      <c r="J64" s="915"/>
      <c r="K64" s="915"/>
      <c r="L64" s="915"/>
      <c r="M64" s="915"/>
      <c r="N64" s="915"/>
      <c r="O64" s="915"/>
      <c r="P64" s="915"/>
      <c r="Q64" s="915"/>
      <c r="R64" s="915"/>
      <c r="S64" s="915"/>
      <c r="T64" s="915"/>
      <c r="U64" s="915"/>
      <c r="V64" s="915"/>
      <c r="W64" s="915"/>
      <c r="X64" s="915"/>
      <c r="Y64" s="915"/>
      <c r="Z64" s="915"/>
      <c r="AA64" s="915"/>
      <c r="AB64" s="915"/>
      <c r="AC64" s="915"/>
      <c r="AD64" s="915"/>
      <c r="AE64" s="915"/>
      <c r="AF64" s="915"/>
      <c r="AG64" s="915"/>
      <c r="AH64" s="915"/>
      <c r="AI64" s="915"/>
      <c r="AJ64" s="915"/>
      <c r="AK64" s="37"/>
      <c r="AL64" s="916"/>
      <c r="AM64" s="916"/>
      <c r="AN64" s="916"/>
      <c r="AO64" s="916"/>
      <c r="AP64" s="916"/>
      <c r="AQ64" s="916"/>
      <c r="AR64" s="916"/>
      <c r="AS64" s="916"/>
      <c r="AT64" s="916"/>
      <c r="AU64" s="916"/>
      <c r="AV64" s="916"/>
      <c r="AW64" s="916"/>
      <c r="AX64" s="916"/>
      <c r="AY64" s="916"/>
      <c r="AZ64" s="916"/>
      <c r="BA64" s="37"/>
      <c r="BB64" s="917"/>
      <c r="BC64" s="917"/>
      <c r="BD64" s="917"/>
      <c r="BE64" s="917"/>
      <c r="BF64" s="917"/>
    </row>
    <row r="65" spans="1:58" ht="12" customHeight="1" x14ac:dyDescent="0.25">
      <c r="A65" s="926"/>
      <c r="B65" s="926"/>
      <c r="C65" s="926"/>
      <c r="D65" s="36"/>
      <c r="E65" s="911"/>
      <c r="F65" s="911"/>
      <c r="G65" s="911"/>
      <c r="H65" s="911"/>
      <c r="I65" s="911"/>
      <c r="J65" s="911"/>
      <c r="K65" s="911"/>
      <c r="L65" s="911"/>
      <c r="M65" s="911"/>
      <c r="N65" s="911"/>
      <c r="O65" s="911"/>
      <c r="P65" s="911"/>
      <c r="Q65" s="911"/>
      <c r="R65" s="911"/>
      <c r="S65" s="911"/>
      <c r="T65" s="911"/>
      <c r="U65" s="911"/>
      <c r="V65" s="911"/>
      <c r="W65" s="911"/>
      <c r="X65" s="911"/>
      <c r="Y65" s="911"/>
      <c r="Z65" s="911"/>
      <c r="AA65" s="911"/>
      <c r="AB65" s="911"/>
      <c r="AC65" s="911"/>
      <c r="AD65" s="911"/>
      <c r="AE65" s="911"/>
      <c r="AF65" s="911"/>
      <c r="AG65" s="911"/>
      <c r="AH65" s="911"/>
      <c r="AI65" s="911"/>
      <c r="AJ65" s="911"/>
      <c r="AK65" s="37"/>
      <c r="AL65" s="912"/>
      <c r="AM65" s="912"/>
      <c r="AN65" s="912"/>
      <c r="AO65" s="912"/>
      <c r="AP65" s="912"/>
      <c r="AQ65" s="912"/>
      <c r="AR65" s="912"/>
      <c r="AS65" s="912"/>
      <c r="AT65" s="912"/>
      <c r="AU65" s="912"/>
      <c r="AV65" s="912"/>
      <c r="AW65" s="912"/>
      <c r="AX65" s="912"/>
      <c r="AY65" s="912"/>
      <c r="AZ65" s="912"/>
      <c r="BA65" s="37"/>
      <c r="BB65" s="913"/>
      <c r="BC65" s="913"/>
      <c r="BD65" s="913"/>
      <c r="BE65" s="913"/>
      <c r="BF65" s="913"/>
    </row>
    <row r="66" spans="1:58" ht="12" customHeight="1" x14ac:dyDescent="0.25">
      <c r="A66" s="914"/>
      <c r="B66" s="914"/>
      <c r="C66" s="914"/>
      <c r="D66" s="36"/>
      <c r="E66" s="915"/>
      <c r="F66" s="915"/>
      <c r="G66" s="915"/>
      <c r="H66" s="915"/>
      <c r="I66" s="915"/>
      <c r="J66" s="915"/>
      <c r="K66" s="915"/>
      <c r="L66" s="915"/>
      <c r="M66" s="915"/>
      <c r="N66" s="915"/>
      <c r="O66" s="915"/>
      <c r="P66" s="915"/>
      <c r="Q66" s="915"/>
      <c r="R66" s="915"/>
      <c r="S66" s="915"/>
      <c r="T66" s="915"/>
      <c r="U66" s="915"/>
      <c r="V66" s="915"/>
      <c r="W66" s="915"/>
      <c r="X66" s="915"/>
      <c r="Y66" s="915"/>
      <c r="Z66" s="915"/>
      <c r="AA66" s="915"/>
      <c r="AB66" s="915"/>
      <c r="AC66" s="915"/>
      <c r="AD66" s="915"/>
      <c r="AE66" s="915"/>
      <c r="AF66" s="915"/>
      <c r="AG66" s="915"/>
      <c r="AH66" s="915"/>
      <c r="AI66" s="915"/>
      <c r="AJ66" s="915"/>
      <c r="AK66" s="37"/>
      <c r="AL66" s="916"/>
      <c r="AM66" s="916"/>
      <c r="AN66" s="916"/>
      <c r="AO66" s="916"/>
      <c r="AP66" s="916"/>
      <c r="AQ66" s="916"/>
      <c r="AR66" s="916"/>
      <c r="AS66" s="916"/>
      <c r="AT66" s="916"/>
      <c r="AU66" s="916"/>
      <c r="AV66" s="916"/>
      <c r="AW66" s="916"/>
      <c r="AX66" s="916"/>
      <c r="AY66" s="916"/>
      <c r="AZ66" s="916"/>
      <c r="BA66" s="37"/>
      <c r="BB66" s="917"/>
      <c r="BC66" s="917"/>
      <c r="BD66" s="917"/>
      <c r="BE66" s="917"/>
      <c r="BF66" s="917"/>
    </row>
    <row r="67" spans="1:58" ht="12" customHeight="1" x14ac:dyDescent="0.25">
      <c r="A67" s="926"/>
      <c r="B67" s="926"/>
      <c r="C67" s="926"/>
      <c r="D67" s="36"/>
      <c r="E67" s="911"/>
      <c r="F67" s="911"/>
      <c r="G67" s="911"/>
      <c r="H67" s="911"/>
      <c r="I67" s="911"/>
      <c r="J67" s="911"/>
      <c r="K67" s="911"/>
      <c r="L67" s="911"/>
      <c r="M67" s="911"/>
      <c r="N67" s="911"/>
      <c r="O67" s="911"/>
      <c r="P67" s="911"/>
      <c r="Q67" s="911"/>
      <c r="R67" s="911"/>
      <c r="S67" s="911"/>
      <c r="T67" s="911"/>
      <c r="U67" s="911"/>
      <c r="V67" s="911"/>
      <c r="W67" s="911"/>
      <c r="X67" s="911"/>
      <c r="Y67" s="911"/>
      <c r="Z67" s="911"/>
      <c r="AA67" s="911"/>
      <c r="AB67" s="911"/>
      <c r="AC67" s="911"/>
      <c r="AD67" s="911"/>
      <c r="AE67" s="911"/>
      <c r="AF67" s="911"/>
      <c r="AG67" s="911"/>
      <c r="AH67" s="911"/>
      <c r="AI67" s="911"/>
      <c r="AJ67" s="911"/>
      <c r="AK67" s="37"/>
      <c r="AL67" s="912"/>
      <c r="AM67" s="912"/>
      <c r="AN67" s="912"/>
      <c r="AO67" s="912"/>
      <c r="AP67" s="912"/>
      <c r="AQ67" s="912"/>
      <c r="AR67" s="912"/>
      <c r="AS67" s="912"/>
      <c r="AT67" s="912"/>
      <c r="AU67" s="912"/>
      <c r="AV67" s="912"/>
      <c r="AW67" s="912"/>
      <c r="AX67" s="912"/>
      <c r="AY67" s="912"/>
      <c r="AZ67" s="912"/>
      <c r="BA67" s="37"/>
      <c r="BB67" s="913"/>
      <c r="BC67" s="913"/>
      <c r="BD67" s="913"/>
      <c r="BE67" s="913"/>
      <c r="BF67" s="913"/>
    </row>
    <row r="68" spans="1:58" ht="12" customHeight="1" x14ac:dyDescent="0.25">
      <c r="A68" s="914"/>
      <c r="B68" s="914"/>
      <c r="C68" s="914"/>
      <c r="D68" s="36"/>
      <c r="E68" s="915"/>
      <c r="F68" s="915"/>
      <c r="G68" s="915"/>
      <c r="H68" s="915"/>
      <c r="I68" s="915"/>
      <c r="J68" s="915"/>
      <c r="K68" s="915"/>
      <c r="L68" s="915"/>
      <c r="M68" s="915"/>
      <c r="N68" s="915"/>
      <c r="O68" s="915"/>
      <c r="P68" s="915"/>
      <c r="Q68" s="915"/>
      <c r="R68" s="915"/>
      <c r="S68" s="915"/>
      <c r="T68" s="915"/>
      <c r="U68" s="915"/>
      <c r="V68" s="915"/>
      <c r="W68" s="915"/>
      <c r="X68" s="915"/>
      <c r="Y68" s="915"/>
      <c r="Z68" s="915"/>
      <c r="AA68" s="915"/>
      <c r="AB68" s="915"/>
      <c r="AC68" s="915"/>
      <c r="AD68" s="915"/>
      <c r="AE68" s="915"/>
      <c r="AF68" s="915"/>
      <c r="AG68" s="915"/>
      <c r="AH68" s="915"/>
      <c r="AI68" s="915"/>
      <c r="AJ68" s="915"/>
      <c r="AK68" s="37"/>
      <c r="AL68" s="916"/>
      <c r="AM68" s="916"/>
      <c r="AN68" s="916"/>
      <c r="AO68" s="916"/>
      <c r="AP68" s="916"/>
      <c r="AQ68" s="916"/>
      <c r="AR68" s="916"/>
      <c r="AS68" s="916"/>
      <c r="AT68" s="916"/>
      <c r="AU68" s="916"/>
      <c r="AV68" s="916"/>
      <c r="AW68" s="916"/>
      <c r="AX68" s="916"/>
      <c r="AY68" s="916"/>
      <c r="AZ68" s="916"/>
      <c r="BA68" s="37"/>
      <c r="BB68" s="917"/>
      <c r="BC68" s="917"/>
      <c r="BD68" s="917"/>
      <c r="BE68" s="917"/>
      <c r="BF68" s="917"/>
    </row>
    <row r="69" spans="1:58" ht="12" customHeight="1" x14ac:dyDescent="0.25">
      <c r="A69" s="926"/>
      <c r="B69" s="926"/>
      <c r="C69" s="926"/>
      <c r="D69" s="36"/>
      <c r="E69" s="911"/>
      <c r="F69" s="911"/>
      <c r="G69" s="911"/>
      <c r="H69" s="911"/>
      <c r="I69" s="911"/>
      <c r="J69" s="911"/>
      <c r="K69" s="911"/>
      <c r="L69" s="911"/>
      <c r="M69" s="911"/>
      <c r="N69" s="911"/>
      <c r="O69" s="911"/>
      <c r="P69" s="911"/>
      <c r="Q69" s="911"/>
      <c r="R69" s="911"/>
      <c r="S69" s="911"/>
      <c r="T69" s="911"/>
      <c r="U69" s="911"/>
      <c r="V69" s="911"/>
      <c r="W69" s="911"/>
      <c r="X69" s="911"/>
      <c r="Y69" s="911"/>
      <c r="Z69" s="911"/>
      <c r="AA69" s="911"/>
      <c r="AB69" s="911"/>
      <c r="AC69" s="911"/>
      <c r="AD69" s="911"/>
      <c r="AE69" s="911"/>
      <c r="AF69" s="911"/>
      <c r="AG69" s="911"/>
      <c r="AH69" s="911"/>
      <c r="AI69" s="911"/>
      <c r="AJ69" s="911"/>
      <c r="AK69" s="37"/>
      <c r="AL69" s="912"/>
      <c r="AM69" s="912"/>
      <c r="AN69" s="912"/>
      <c r="AO69" s="912"/>
      <c r="AP69" s="912"/>
      <c r="AQ69" s="912"/>
      <c r="AR69" s="912"/>
      <c r="AS69" s="912"/>
      <c r="AT69" s="912"/>
      <c r="AU69" s="912"/>
      <c r="AV69" s="912"/>
      <c r="AW69" s="912"/>
      <c r="AX69" s="912"/>
      <c r="AY69" s="912"/>
      <c r="AZ69" s="912"/>
      <c r="BA69" s="37"/>
      <c r="BB69" s="913"/>
      <c r="BC69" s="913"/>
      <c r="BD69" s="913"/>
      <c r="BE69" s="913"/>
      <c r="BF69" s="913"/>
    </row>
    <row r="70" spans="1:58" ht="12" customHeight="1" x14ac:dyDescent="0.25">
      <c r="A70" s="914"/>
      <c r="B70" s="914"/>
      <c r="C70" s="914"/>
      <c r="D70" s="36"/>
      <c r="E70" s="915"/>
      <c r="F70" s="915"/>
      <c r="G70" s="915"/>
      <c r="H70" s="915"/>
      <c r="I70" s="915"/>
      <c r="J70" s="915"/>
      <c r="K70" s="915"/>
      <c r="L70" s="915"/>
      <c r="M70" s="915"/>
      <c r="N70" s="915"/>
      <c r="O70" s="915"/>
      <c r="P70" s="915"/>
      <c r="Q70" s="915"/>
      <c r="R70" s="915"/>
      <c r="S70" s="915"/>
      <c r="T70" s="915"/>
      <c r="U70" s="915"/>
      <c r="V70" s="915"/>
      <c r="W70" s="915"/>
      <c r="X70" s="915"/>
      <c r="Y70" s="915"/>
      <c r="Z70" s="915"/>
      <c r="AA70" s="915"/>
      <c r="AB70" s="915"/>
      <c r="AC70" s="915"/>
      <c r="AD70" s="915"/>
      <c r="AE70" s="915"/>
      <c r="AF70" s="915"/>
      <c r="AG70" s="915"/>
      <c r="AH70" s="915"/>
      <c r="AI70" s="915"/>
      <c r="AJ70" s="915"/>
      <c r="AK70" s="37"/>
      <c r="AL70" s="916"/>
      <c r="AM70" s="916"/>
      <c r="AN70" s="916"/>
      <c r="AO70" s="916"/>
      <c r="AP70" s="916"/>
      <c r="AQ70" s="916"/>
      <c r="AR70" s="916"/>
      <c r="AS70" s="916"/>
      <c r="AT70" s="916"/>
      <c r="AU70" s="916"/>
      <c r="AV70" s="916"/>
      <c r="AW70" s="916"/>
      <c r="AX70" s="916"/>
      <c r="AY70" s="916"/>
      <c r="AZ70" s="916"/>
      <c r="BA70" s="37"/>
      <c r="BB70" s="917"/>
      <c r="BC70" s="917"/>
      <c r="BD70" s="917"/>
      <c r="BE70" s="917"/>
      <c r="BF70" s="917"/>
    </row>
    <row r="71" spans="1:58" ht="12" customHeight="1" thickBot="1" x14ac:dyDescent="0.3">
      <c r="A71" s="918"/>
      <c r="B71" s="918"/>
      <c r="C71" s="918"/>
      <c r="D71" s="38"/>
      <c r="E71" s="919"/>
      <c r="F71" s="919"/>
      <c r="G71" s="919"/>
      <c r="H71" s="919"/>
      <c r="I71" s="919"/>
      <c r="J71" s="919"/>
      <c r="K71" s="919"/>
      <c r="L71" s="919"/>
      <c r="M71" s="919"/>
      <c r="N71" s="919"/>
      <c r="O71" s="919"/>
      <c r="P71" s="919"/>
      <c r="Q71" s="919"/>
      <c r="R71" s="919"/>
      <c r="S71" s="919"/>
      <c r="T71" s="919"/>
      <c r="U71" s="919"/>
      <c r="V71" s="919"/>
      <c r="W71" s="919"/>
      <c r="X71" s="919"/>
      <c r="Y71" s="919"/>
      <c r="Z71" s="919"/>
      <c r="AA71" s="919"/>
      <c r="AB71" s="919"/>
      <c r="AC71" s="919"/>
      <c r="AD71" s="919"/>
      <c r="AE71" s="919"/>
      <c r="AF71" s="919"/>
      <c r="AG71" s="919"/>
      <c r="AH71" s="919"/>
      <c r="AI71" s="919"/>
      <c r="AJ71" s="919"/>
      <c r="AK71" s="39"/>
      <c r="AL71" s="927"/>
      <c r="AM71" s="927"/>
      <c r="AN71" s="927"/>
      <c r="AO71" s="927"/>
      <c r="AP71" s="927"/>
      <c r="AQ71" s="927"/>
      <c r="AR71" s="927"/>
      <c r="AS71" s="927"/>
      <c r="AT71" s="927"/>
      <c r="AU71" s="927"/>
      <c r="AV71" s="927"/>
      <c r="AW71" s="927"/>
      <c r="AX71" s="927"/>
      <c r="AY71" s="927"/>
      <c r="AZ71" s="927"/>
      <c r="BA71" s="39"/>
      <c r="BB71" s="928"/>
      <c r="BC71" s="928"/>
      <c r="BD71" s="928"/>
      <c r="BE71" s="928"/>
      <c r="BF71" s="928"/>
    </row>
    <row r="72" spans="1:58" s="43" customFormat="1" ht="12" customHeight="1" thickBot="1" x14ac:dyDescent="0.3">
      <c r="A72" s="931" t="s">
        <v>1180</v>
      </c>
      <c r="B72" s="929"/>
      <c r="C72" s="929"/>
      <c r="D72" s="929"/>
      <c r="E72" s="929"/>
      <c r="F72" s="929"/>
      <c r="G72" s="929"/>
      <c r="H72" s="929"/>
      <c r="I72" s="929"/>
      <c r="J72" s="929"/>
      <c r="K72" s="929"/>
      <c r="L72" s="929"/>
      <c r="M72" s="929"/>
      <c r="N72" s="929"/>
      <c r="O72" s="929"/>
      <c r="P72" s="929"/>
      <c r="Q72" s="929"/>
      <c r="R72" s="929"/>
      <c r="S72" s="929"/>
      <c r="T72" s="929"/>
      <c r="U72" s="929"/>
      <c r="V72" s="929"/>
      <c r="W72" s="929"/>
      <c r="X72" s="929"/>
      <c r="Y72" s="929"/>
      <c r="Z72" s="929"/>
      <c r="AA72" s="929"/>
      <c r="AB72" s="929"/>
      <c r="AC72" s="929"/>
      <c r="AD72" s="929"/>
      <c r="AE72" s="929"/>
      <c r="AF72" s="930">
        <f ca="1">SUMIF(AL4:AZ71,"Rucksack",BB4:BF71)+BB28</f>
        <v>2.5</v>
      </c>
      <c r="AG72" s="930"/>
      <c r="AH72" s="930"/>
      <c r="AI72" s="930"/>
      <c r="AJ72" s="930"/>
      <c r="AK72" s="327"/>
      <c r="AL72" s="929" t="s">
        <v>1179</v>
      </c>
      <c r="AM72" s="929"/>
      <c r="AN72" s="929"/>
      <c r="AO72" s="929"/>
      <c r="AP72" s="929"/>
      <c r="AQ72" s="929"/>
      <c r="AR72" s="929"/>
      <c r="AS72" s="929"/>
      <c r="AT72" s="929"/>
      <c r="AU72" s="929"/>
      <c r="AV72" s="929"/>
      <c r="AW72" s="929"/>
      <c r="AX72" s="929"/>
      <c r="AY72" s="929"/>
      <c r="AZ72" s="929"/>
      <c r="BA72" s="929"/>
      <c r="BB72" s="932">
        <f>SUM(BB4:BF71)</f>
        <v>2.5</v>
      </c>
      <c r="BC72" s="932"/>
      <c r="BD72" s="932"/>
      <c r="BE72" s="932"/>
      <c r="BF72" s="932"/>
    </row>
    <row r="73" spans="1:58" ht="12" customHeight="1" x14ac:dyDescent="0.25"/>
    <row r="74" spans="1:58" ht="12" customHeight="1" x14ac:dyDescent="0.25"/>
    <row r="75" spans="1:58" ht="12" customHeight="1" x14ac:dyDescent="0.25"/>
    <row r="76" spans="1:58" ht="12" customHeight="1" x14ac:dyDescent="0.25"/>
    <row r="77" spans="1:58" ht="12" customHeight="1" x14ac:dyDescent="0.25"/>
    <row r="78" spans="1:58" ht="12" customHeight="1" x14ac:dyDescent="0.25"/>
    <row r="79" spans="1:58" ht="12" customHeight="1" x14ac:dyDescent="0.25"/>
  </sheetData>
  <sheetProtection password="E882" sheet="1" objects="1" scenarios="1" selectLockedCells="1"/>
  <mergeCells count="264">
    <mergeCell ref="A1:D1"/>
    <mergeCell ref="E1:S1"/>
    <mergeCell ref="AM1:AQ1"/>
    <mergeCell ref="A3:C3"/>
    <mergeCell ref="E3:AJ3"/>
    <mergeCell ref="AL3:AZ3"/>
    <mergeCell ref="BB3:BF3"/>
    <mergeCell ref="AR1:BF1"/>
    <mergeCell ref="A8:C8"/>
    <mergeCell ref="E8:AJ8"/>
    <mergeCell ref="AL8:AZ8"/>
    <mergeCell ref="BB8:BF8"/>
    <mergeCell ref="A6:C6"/>
    <mergeCell ref="E6:AJ6"/>
    <mergeCell ref="AL6:AZ6"/>
    <mergeCell ref="BB6:BF6"/>
    <mergeCell ref="A4:C4"/>
    <mergeCell ref="E4:AJ4"/>
    <mergeCell ref="AL4:AZ4"/>
    <mergeCell ref="BB4:BF4"/>
    <mergeCell ref="A5:C5"/>
    <mergeCell ref="E5:AJ5"/>
    <mergeCell ref="AL5:AZ5"/>
    <mergeCell ref="BB5:BF5"/>
    <mergeCell ref="A13:C13"/>
    <mergeCell ref="E13:AJ13"/>
    <mergeCell ref="AL13:AZ13"/>
    <mergeCell ref="BB13:BF13"/>
    <mergeCell ref="A10:C10"/>
    <mergeCell ref="E10:AJ10"/>
    <mergeCell ref="AL10:AZ10"/>
    <mergeCell ref="BB10:BF10"/>
    <mergeCell ref="A7:C7"/>
    <mergeCell ref="E7:AJ7"/>
    <mergeCell ref="AL7:AZ7"/>
    <mergeCell ref="BB7:BF7"/>
    <mergeCell ref="A12:C12"/>
    <mergeCell ref="E12:AJ12"/>
    <mergeCell ref="AL12:AZ12"/>
    <mergeCell ref="BB12:BF12"/>
    <mergeCell ref="A9:C9"/>
    <mergeCell ref="E9:AJ9"/>
    <mergeCell ref="AL9:AZ9"/>
    <mergeCell ref="BB9:BF9"/>
    <mergeCell ref="A16:C16"/>
    <mergeCell ref="E16:AJ16"/>
    <mergeCell ref="AL16:AZ16"/>
    <mergeCell ref="BB16:BF16"/>
    <mergeCell ref="A14:C14"/>
    <mergeCell ref="E14:AJ14"/>
    <mergeCell ref="AL14:AZ14"/>
    <mergeCell ref="BB14:BF14"/>
    <mergeCell ref="A20:C20"/>
    <mergeCell ref="E20:AJ20"/>
    <mergeCell ref="AL20:AZ20"/>
    <mergeCell ref="BB20:BF20"/>
    <mergeCell ref="A15:C15"/>
    <mergeCell ref="E15:AJ15"/>
    <mergeCell ref="AL15:AZ15"/>
    <mergeCell ref="BB15:BF15"/>
    <mergeCell ref="A21:C21"/>
    <mergeCell ref="E21:AJ21"/>
    <mergeCell ref="AL21:AZ21"/>
    <mergeCell ref="BB21:BF21"/>
    <mergeCell ref="A17:C17"/>
    <mergeCell ref="E17:AJ17"/>
    <mergeCell ref="AL17:AZ17"/>
    <mergeCell ref="BB17:BF17"/>
    <mergeCell ref="A18:C18"/>
    <mergeCell ref="E18:AJ18"/>
    <mergeCell ref="AL18:AZ18"/>
    <mergeCell ref="BB18:BF18"/>
    <mergeCell ref="A34:C34"/>
    <mergeCell ref="E34:AJ34"/>
    <mergeCell ref="AL34:AZ34"/>
    <mergeCell ref="BB34:BF34"/>
    <mergeCell ref="A35:C35"/>
    <mergeCell ref="E35:AJ35"/>
    <mergeCell ref="AL35:AZ35"/>
    <mergeCell ref="BB35:BF35"/>
    <mergeCell ref="A22:C22"/>
    <mergeCell ref="E22:AJ22"/>
    <mergeCell ref="AL22:AZ22"/>
    <mergeCell ref="BB22:BF22"/>
    <mergeCell ref="A23:C23"/>
    <mergeCell ref="E23:AJ23"/>
    <mergeCell ref="AL23:AZ23"/>
    <mergeCell ref="BB23:BF23"/>
    <mergeCell ref="A28:C28"/>
    <mergeCell ref="E28:AJ28"/>
    <mergeCell ref="AL28:AZ28"/>
    <mergeCell ref="BB28:BF28"/>
    <mergeCell ref="A24:C24"/>
    <mergeCell ref="E24:AJ24"/>
    <mergeCell ref="AL24:AZ24"/>
    <mergeCell ref="BB24:BF24"/>
    <mergeCell ref="A25:C25"/>
    <mergeCell ref="E25:AJ25"/>
    <mergeCell ref="AL25:AZ25"/>
    <mergeCell ref="BB25:BF25"/>
    <mergeCell ref="A42:C42"/>
    <mergeCell ref="E42:AJ42"/>
    <mergeCell ref="AL42:AZ42"/>
    <mergeCell ref="BB42:BF42"/>
    <mergeCell ref="A43:C43"/>
    <mergeCell ref="E43:AJ43"/>
    <mergeCell ref="AL43:AZ43"/>
    <mergeCell ref="BB43:BF43"/>
    <mergeCell ref="A29:C29"/>
    <mergeCell ref="E29:AJ29"/>
    <mergeCell ref="AL29:AZ29"/>
    <mergeCell ref="BB29:BF29"/>
    <mergeCell ref="A41:C41"/>
    <mergeCell ref="E41:AJ41"/>
    <mergeCell ref="AL41:AZ41"/>
    <mergeCell ref="BB41:BF41"/>
    <mergeCell ref="A33:C33"/>
    <mergeCell ref="E33:AJ33"/>
    <mergeCell ref="AL33:AZ33"/>
    <mergeCell ref="BB33:BF33"/>
    <mergeCell ref="A40:C40"/>
    <mergeCell ref="E40:AJ40"/>
    <mergeCell ref="AL40:AZ40"/>
    <mergeCell ref="BB40:BF40"/>
    <mergeCell ref="A46:C46"/>
    <mergeCell ref="E46:AJ46"/>
    <mergeCell ref="AL46:AZ46"/>
    <mergeCell ref="BB46:BF46"/>
    <mergeCell ref="A47:C47"/>
    <mergeCell ref="E47:AJ47"/>
    <mergeCell ref="AL47:AZ47"/>
    <mergeCell ref="BB47:BF47"/>
    <mergeCell ref="A45:C45"/>
    <mergeCell ref="E45:AJ45"/>
    <mergeCell ref="AL45:AZ45"/>
    <mergeCell ref="BB45:BF45"/>
    <mergeCell ref="A48:C48"/>
    <mergeCell ref="E48:AJ48"/>
    <mergeCell ref="AL48:AZ48"/>
    <mergeCell ref="BB48:BF48"/>
    <mergeCell ref="A49:C49"/>
    <mergeCell ref="E49:AJ49"/>
    <mergeCell ref="AL49:AZ49"/>
    <mergeCell ref="BB49:BF49"/>
    <mergeCell ref="A30:C30"/>
    <mergeCell ref="E30:AJ30"/>
    <mergeCell ref="AL30:AZ30"/>
    <mergeCell ref="BB30:BF30"/>
    <mergeCell ref="A31:C31"/>
    <mergeCell ref="E31:AJ31"/>
    <mergeCell ref="AL31:AZ31"/>
    <mergeCell ref="BB31:BF31"/>
    <mergeCell ref="A32:C32"/>
    <mergeCell ref="E32:AJ32"/>
    <mergeCell ref="AL32:AZ32"/>
    <mergeCell ref="BB32:BF32"/>
    <mergeCell ref="A44:C44"/>
    <mergeCell ref="E44:AJ44"/>
    <mergeCell ref="AL44:AZ44"/>
    <mergeCell ref="BB44:BF44"/>
    <mergeCell ref="A50:C50"/>
    <mergeCell ref="E50:AJ50"/>
    <mergeCell ref="AL50:AZ50"/>
    <mergeCell ref="BB50:BF50"/>
    <mergeCell ref="A51:C51"/>
    <mergeCell ref="E51:AJ51"/>
    <mergeCell ref="AL51:AZ51"/>
    <mergeCell ref="BB51:BF51"/>
    <mergeCell ref="A52:C52"/>
    <mergeCell ref="E52:AJ52"/>
    <mergeCell ref="AL52:AZ52"/>
    <mergeCell ref="BB52:BF52"/>
    <mergeCell ref="A59:C59"/>
    <mergeCell ref="E59:AJ59"/>
    <mergeCell ref="AL59:AZ59"/>
    <mergeCell ref="BB59:BF59"/>
    <mergeCell ref="A54:C54"/>
    <mergeCell ref="E54:AJ54"/>
    <mergeCell ref="AL54:AZ54"/>
    <mergeCell ref="BB54:BF54"/>
    <mergeCell ref="A56:C56"/>
    <mergeCell ref="E56:AJ56"/>
    <mergeCell ref="AL56:AZ56"/>
    <mergeCell ref="BB56:BF56"/>
    <mergeCell ref="A58:C58"/>
    <mergeCell ref="E58:AJ58"/>
    <mergeCell ref="AL58:AZ58"/>
    <mergeCell ref="BB58:BF58"/>
    <mergeCell ref="A55:C55"/>
    <mergeCell ref="E55:AJ55"/>
    <mergeCell ref="AL55:AZ55"/>
    <mergeCell ref="BB55:BF55"/>
    <mergeCell ref="A57:C57"/>
    <mergeCell ref="E57:AJ57"/>
    <mergeCell ref="AL57:AZ57"/>
    <mergeCell ref="BB57:BF57"/>
    <mergeCell ref="BB62:BF62"/>
    <mergeCell ref="A63:C63"/>
    <mergeCell ref="E63:AJ63"/>
    <mergeCell ref="AL63:AZ63"/>
    <mergeCell ref="BB63:BF63"/>
    <mergeCell ref="A60:C60"/>
    <mergeCell ref="E60:AJ60"/>
    <mergeCell ref="AL60:AZ60"/>
    <mergeCell ref="BB60:BF60"/>
    <mergeCell ref="E70:AJ70"/>
    <mergeCell ref="AL70:AZ70"/>
    <mergeCell ref="BB70:BF70"/>
    <mergeCell ref="A71:C71"/>
    <mergeCell ref="E71:AJ71"/>
    <mergeCell ref="AL71:AZ71"/>
    <mergeCell ref="BB71:BF71"/>
    <mergeCell ref="AL72:BA72"/>
    <mergeCell ref="A64:C64"/>
    <mergeCell ref="E64:AJ64"/>
    <mergeCell ref="AL64:AZ64"/>
    <mergeCell ref="BB64:BF64"/>
    <mergeCell ref="AF72:AJ72"/>
    <mergeCell ref="A72:AE72"/>
    <mergeCell ref="A68:C68"/>
    <mergeCell ref="E68:AJ68"/>
    <mergeCell ref="AL68:AZ68"/>
    <mergeCell ref="BB68:BF68"/>
    <mergeCell ref="BB72:BF72"/>
    <mergeCell ref="A69:C69"/>
    <mergeCell ref="E69:AJ69"/>
    <mergeCell ref="AL69:AZ69"/>
    <mergeCell ref="BB69:BF69"/>
    <mergeCell ref="A70:C70"/>
    <mergeCell ref="A27:C27"/>
    <mergeCell ref="E27:AJ27"/>
    <mergeCell ref="AL27:AZ27"/>
    <mergeCell ref="BB27:BF27"/>
    <mergeCell ref="A67:C67"/>
    <mergeCell ref="E67:AJ67"/>
    <mergeCell ref="AL67:AZ67"/>
    <mergeCell ref="BB67:BF67"/>
    <mergeCell ref="A65:C65"/>
    <mergeCell ref="E65:AJ65"/>
    <mergeCell ref="AL65:AZ65"/>
    <mergeCell ref="BB65:BF65"/>
    <mergeCell ref="A66:C66"/>
    <mergeCell ref="E66:AJ66"/>
    <mergeCell ref="AL66:AZ66"/>
    <mergeCell ref="BB66:BF66"/>
    <mergeCell ref="A61:C61"/>
    <mergeCell ref="E61:AJ61"/>
    <mergeCell ref="AL61:AZ61"/>
    <mergeCell ref="BB61:BF61"/>
    <mergeCell ref="A62:C62"/>
    <mergeCell ref="E62:AJ62"/>
    <mergeCell ref="AL62:AZ62"/>
    <mergeCell ref="A36:C36"/>
    <mergeCell ref="E36:AJ36"/>
    <mergeCell ref="AL36:AZ36"/>
    <mergeCell ref="BB36:BF36"/>
    <mergeCell ref="A37:C37"/>
    <mergeCell ref="E37:AJ37"/>
    <mergeCell ref="AL37:AZ37"/>
    <mergeCell ref="BB37:BF37"/>
    <mergeCell ref="A38:C38"/>
    <mergeCell ref="E38:AJ38"/>
    <mergeCell ref="AL38:AZ38"/>
    <mergeCell ref="BB38:BF38"/>
  </mergeCells>
  <conditionalFormatting sqref="BB21:BF21">
    <cfRule type="cellIs" dxfId="1" priority="1" stopIfTrue="1" operator="equal">
      <formula>0</formula>
    </cfRule>
  </conditionalFormatting>
  <printOptions horizontalCentered="1"/>
  <pageMargins left="0.19685039370078741" right="0.19685039370078741" top="0.19685039370078741" bottom="0.19685039370078741" header="0.51181102362204722" footer="0.51181102362204722"/>
  <pageSetup paperSize="9" firstPageNumber="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enableFormatConditionsCalculation="0">
    <tabColor rgb="FFFF2F2F"/>
    <pageSetUpPr fitToPage="1"/>
  </sheetPr>
  <dimension ref="A1:BG61"/>
  <sheetViews>
    <sheetView showGridLines="0" zoomScale="125" zoomScaleNormal="125" workbookViewId="0">
      <pane ySplit="4" topLeftCell="A5" activePane="bottomLeft" state="frozen"/>
      <selection pane="bottomLeft" activeCell="D5" sqref="D5:M6"/>
    </sheetView>
  </sheetViews>
  <sheetFormatPr baseColWidth="10" defaultColWidth="1.7109375" defaultRowHeight="12.75" x14ac:dyDescent="0.2"/>
  <cols>
    <col min="1" max="16384" width="1.7109375" style="13"/>
  </cols>
  <sheetData>
    <row r="1" spans="1:59" s="5" customFormat="1" ht="15.75" x14ac:dyDescent="0.2">
      <c r="A1" s="992" t="s">
        <v>181</v>
      </c>
      <c r="B1" s="993"/>
      <c r="C1" s="993"/>
      <c r="D1" s="994"/>
      <c r="E1" s="998" t="str">
        <f>IF(ISBLANK(Name),"",Name)</f>
        <v/>
      </c>
      <c r="F1" s="999"/>
      <c r="G1" s="999"/>
      <c r="H1" s="999"/>
      <c r="I1" s="999"/>
      <c r="J1" s="999"/>
      <c r="K1" s="999"/>
      <c r="L1" s="999"/>
      <c r="M1" s="999"/>
      <c r="N1" s="1000"/>
      <c r="O1" s="999"/>
      <c r="P1" s="999"/>
      <c r="Q1" s="999"/>
      <c r="R1" s="999"/>
      <c r="S1" s="1001"/>
      <c r="U1" s="1002" t="s">
        <v>34</v>
      </c>
      <c r="V1" s="1002"/>
      <c r="W1" s="1002"/>
      <c r="X1" s="1002"/>
      <c r="Y1" s="1002"/>
      <c r="Z1" s="1002"/>
      <c r="AA1" s="989" t="str">
        <f>IF(ISBLANK(Typ),"",IF(Zaubern=3,3,Zaubern+ZauB))</f>
        <v/>
      </c>
      <c r="AB1" s="990"/>
      <c r="AC1" s="991"/>
      <c r="AE1" s="1003" t="s">
        <v>165</v>
      </c>
      <c r="AF1" s="1003"/>
      <c r="AG1" s="1003"/>
      <c r="AH1" s="1003"/>
      <c r="AI1" s="1003"/>
      <c r="AJ1" s="1003"/>
      <c r="AK1" s="1005" t="str">
        <f>IF(ISBLANK(SpezMagier),"",SpezMagier)</f>
        <v/>
      </c>
      <c r="AL1" s="1005"/>
      <c r="AM1" s="1005"/>
      <c r="AN1" s="1005"/>
      <c r="AO1" s="1005"/>
      <c r="AP1" s="1005"/>
      <c r="AQ1" s="1005"/>
      <c r="AR1" s="1005"/>
      <c r="AT1" s="1003" t="s">
        <v>2</v>
      </c>
      <c r="AU1" s="1003"/>
      <c r="AV1" s="1003"/>
      <c r="AW1" s="1003"/>
      <c r="AX1" s="1004"/>
      <c r="AY1" s="997" t="str">
        <f>IF(ISBLANK(Spieler),"",Spieler)</f>
        <v/>
      </c>
      <c r="AZ1" s="997"/>
      <c r="BA1" s="997"/>
      <c r="BB1" s="997"/>
      <c r="BC1" s="997"/>
      <c r="BD1" s="997"/>
      <c r="BE1" s="997"/>
      <c r="BF1" s="997"/>
      <c r="BG1" s="997"/>
    </row>
    <row r="2" spans="1:59" s="10" customFormat="1" ht="5.0999999999999996" customHeight="1" thickBot="1" x14ac:dyDescent="0.25"/>
    <row r="3" spans="1:59" s="11" customFormat="1" ht="15.75" thickTop="1" thickBot="1" x14ac:dyDescent="0.25">
      <c r="A3" s="995" t="s">
        <v>69</v>
      </c>
      <c r="B3" s="995"/>
      <c r="C3" s="995"/>
      <c r="D3" s="996" t="s">
        <v>166</v>
      </c>
      <c r="E3" s="996"/>
      <c r="F3" s="996"/>
      <c r="G3" s="996"/>
      <c r="H3" s="996"/>
      <c r="I3" s="996"/>
      <c r="J3" s="996"/>
      <c r="K3" s="996"/>
      <c r="L3" s="996"/>
      <c r="M3" s="996"/>
      <c r="N3" s="982" t="s">
        <v>167</v>
      </c>
      <c r="O3" s="982"/>
      <c r="P3" s="982"/>
      <c r="Q3" s="982"/>
      <c r="R3" s="982" t="s">
        <v>168</v>
      </c>
      <c r="S3" s="982"/>
      <c r="T3" s="982"/>
      <c r="U3" s="982"/>
      <c r="V3" s="982" t="s">
        <v>169</v>
      </c>
      <c r="W3" s="982"/>
      <c r="X3" s="982"/>
      <c r="Y3" s="983" t="s">
        <v>1184</v>
      </c>
      <c r="Z3" s="984"/>
      <c r="AA3" s="984"/>
      <c r="AB3" s="984"/>
      <c r="AC3" s="984"/>
      <c r="AD3" s="984"/>
      <c r="AE3" s="984"/>
      <c r="AF3" s="984"/>
      <c r="AG3" s="984"/>
      <c r="AH3" s="984"/>
      <c r="AI3" s="984"/>
      <c r="AJ3" s="984"/>
      <c r="AK3" s="984"/>
      <c r="AL3" s="984"/>
      <c r="AM3" s="984"/>
      <c r="AN3" s="984"/>
      <c r="AO3" s="984"/>
      <c r="AP3" s="984"/>
      <c r="AQ3" s="984"/>
      <c r="AR3" s="984"/>
      <c r="AS3" s="984"/>
      <c r="AT3" s="984"/>
      <c r="AU3" s="984"/>
      <c r="AV3" s="984"/>
      <c r="AW3" s="984"/>
      <c r="AX3" s="984"/>
      <c r="AY3" s="984"/>
      <c r="AZ3" s="984"/>
      <c r="BA3" s="984"/>
      <c r="BB3" s="984"/>
      <c r="BC3" s="984"/>
      <c r="BD3" s="984"/>
      <c r="BE3" s="984"/>
      <c r="BF3" s="984"/>
      <c r="BG3" s="985"/>
    </row>
    <row r="4" spans="1:59" s="12" customFormat="1" ht="15.75" thickTop="1" thickBot="1" x14ac:dyDescent="0.25">
      <c r="A4" s="978" t="s">
        <v>27</v>
      </c>
      <c r="B4" s="979"/>
      <c r="C4" s="978"/>
      <c r="D4" s="996"/>
      <c r="E4" s="996"/>
      <c r="F4" s="996"/>
      <c r="G4" s="996"/>
      <c r="H4" s="996"/>
      <c r="I4" s="996"/>
      <c r="J4" s="996"/>
      <c r="K4" s="996"/>
      <c r="L4" s="996"/>
      <c r="M4" s="996"/>
      <c r="N4" s="980" t="s">
        <v>172</v>
      </c>
      <c r="O4" s="981"/>
      <c r="P4" s="980"/>
      <c r="Q4" s="980"/>
      <c r="R4" s="980" t="s">
        <v>173</v>
      </c>
      <c r="S4" s="980"/>
      <c r="T4" s="980"/>
      <c r="U4" s="980"/>
      <c r="V4" s="980" t="s">
        <v>174</v>
      </c>
      <c r="W4" s="980"/>
      <c r="X4" s="980"/>
      <c r="Y4" s="986"/>
      <c r="Z4" s="987"/>
      <c r="AA4" s="987"/>
      <c r="AB4" s="987"/>
      <c r="AC4" s="987"/>
      <c r="AD4" s="987"/>
      <c r="AE4" s="987"/>
      <c r="AF4" s="987"/>
      <c r="AG4" s="987"/>
      <c r="AH4" s="987"/>
      <c r="AI4" s="987"/>
      <c r="AJ4" s="987"/>
      <c r="AK4" s="987"/>
      <c r="AL4" s="987"/>
      <c r="AM4" s="987"/>
      <c r="AN4" s="987"/>
      <c r="AO4" s="987"/>
      <c r="AP4" s="987"/>
      <c r="AQ4" s="987"/>
      <c r="AR4" s="987"/>
      <c r="AS4" s="987"/>
      <c r="AT4" s="987"/>
      <c r="AU4" s="987"/>
      <c r="AV4" s="987"/>
      <c r="AW4" s="987"/>
      <c r="AX4" s="987"/>
      <c r="AY4" s="987"/>
      <c r="AZ4" s="987"/>
      <c r="BA4" s="987"/>
      <c r="BB4" s="987"/>
      <c r="BC4" s="987"/>
      <c r="BD4" s="987"/>
      <c r="BE4" s="987"/>
      <c r="BF4" s="987"/>
      <c r="BG4" s="988"/>
    </row>
    <row r="5" spans="1:59" ht="13.5" thickTop="1" x14ac:dyDescent="0.2">
      <c r="A5" s="965" t="str">
        <f>IF(ISBLANK(D5),"",IF(SpezMagier=S7,$AA$1+2,$AA$1))</f>
        <v/>
      </c>
      <c r="B5" s="966"/>
      <c r="C5" s="966"/>
      <c r="D5" s="967"/>
      <c r="E5" s="968"/>
      <c r="F5" s="968"/>
      <c r="G5" s="968"/>
      <c r="H5" s="968"/>
      <c r="I5" s="968"/>
      <c r="J5" s="968"/>
      <c r="K5" s="968"/>
      <c r="L5" s="968"/>
      <c r="M5" s="969"/>
      <c r="N5" s="973" t="str">
        <f>IF(ISBLANK(D5),"",VLOOKUP(D5,Zauberliste,5,FALSE))</f>
        <v/>
      </c>
      <c r="O5" s="973"/>
      <c r="P5" s="973"/>
      <c r="Q5" s="973"/>
      <c r="R5" s="973" t="str">
        <f>IF(ISBLANK(D5),"",VLOOKUP(D5,Zauberliste,8,FALSE))</f>
        <v/>
      </c>
      <c r="S5" s="973"/>
      <c r="T5" s="973"/>
      <c r="U5" s="973"/>
      <c r="V5" s="1021" t="str">
        <f>IF(ISBLANK(D5),"",VLOOKUP(D5,Zauberliste,7,FALSE))</f>
        <v/>
      </c>
      <c r="W5" s="1022"/>
      <c r="X5" s="1023"/>
      <c r="Y5" s="1024"/>
      <c r="Z5" s="1025"/>
      <c r="AA5" s="1025"/>
      <c r="AB5" s="1025"/>
      <c r="AC5" s="1025"/>
      <c r="AD5" s="1025"/>
      <c r="AE5" s="1025"/>
      <c r="AF5" s="1025"/>
      <c r="AG5" s="1025"/>
      <c r="AH5" s="1025"/>
      <c r="AI5" s="1025"/>
      <c r="AJ5" s="1025"/>
      <c r="AK5" s="1025"/>
      <c r="AL5" s="1025"/>
      <c r="AM5" s="1025"/>
      <c r="AN5" s="1025"/>
      <c r="AO5" s="1025"/>
      <c r="AP5" s="1025"/>
      <c r="AQ5" s="1025"/>
      <c r="AR5" s="1025"/>
      <c r="AS5" s="1025"/>
      <c r="AT5" s="1025"/>
      <c r="AU5" s="1025"/>
      <c r="AV5" s="1025"/>
      <c r="AW5" s="1025"/>
      <c r="AX5" s="1025"/>
      <c r="AY5" s="1025"/>
      <c r="AZ5" s="1025"/>
      <c r="BA5" s="1025"/>
      <c r="BB5" s="1025"/>
      <c r="BC5" s="1025"/>
      <c r="BD5" s="1025"/>
      <c r="BE5" s="1025"/>
      <c r="BF5" s="1025"/>
      <c r="BG5" s="1026"/>
    </row>
    <row r="6" spans="1:59" x14ac:dyDescent="0.2">
      <c r="A6" s="974" t="str">
        <f>IF(ISBLANK(D5),"",VLOOKUP(D5,Zauberliste,4,FALSE))</f>
        <v/>
      </c>
      <c r="B6" s="958"/>
      <c r="C6" s="958"/>
      <c r="D6" s="970"/>
      <c r="E6" s="971"/>
      <c r="F6" s="971"/>
      <c r="G6" s="971"/>
      <c r="H6" s="971"/>
      <c r="I6" s="971"/>
      <c r="J6" s="971"/>
      <c r="K6" s="971"/>
      <c r="L6" s="971"/>
      <c r="M6" s="972"/>
      <c r="N6" s="975" t="str">
        <f>IF(ISBLANK(D5),"",VLOOKUP(D5,Zauberliste,6,FALSE))</f>
        <v/>
      </c>
      <c r="O6" s="976"/>
      <c r="P6" s="976"/>
      <c r="Q6" s="977"/>
      <c r="R6" s="958" t="str">
        <f>IF(ISBLANK(D5),"",VLOOKUP(D5,Zauberliste,9,FALSE))</f>
        <v/>
      </c>
      <c r="S6" s="958"/>
      <c r="T6" s="958"/>
      <c r="U6" s="958"/>
      <c r="V6" s="958" t="str">
        <f>IF(ISBLANK(D5),"",VLOOKUP(D5,Zauberliste,2,FALSE))</f>
        <v/>
      </c>
      <c r="W6" s="958"/>
      <c r="X6" s="958"/>
      <c r="Y6" s="1027"/>
      <c r="Z6" s="1028"/>
      <c r="AA6" s="1028"/>
      <c r="AB6" s="1028"/>
      <c r="AC6" s="1028"/>
      <c r="AD6" s="1028"/>
      <c r="AE6" s="1028"/>
      <c r="AF6" s="1028"/>
      <c r="AG6" s="1028"/>
      <c r="AH6" s="1028"/>
      <c r="AI6" s="1028"/>
      <c r="AJ6" s="1028"/>
      <c r="AK6" s="1028"/>
      <c r="AL6" s="1028"/>
      <c r="AM6" s="1028"/>
      <c r="AN6" s="1028"/>
      <c r="AO6" s="1028"/>
      <c r="AP6" s="1028"/>
      <c r="AQ6" s="1028"/>
      <c r="AR6" s="1028"/>
      <c r="AS6" s="1028"/>
      <c r="AT6" s="1028"/>
      <c r="AU6" s="1028"/>
      <c r="AV6" s="1028"/>
      <c r="AW6" s="1028"/>
      <c r="AX6" s="1028"/>
      <c r="AY6" s="1028"/>
      <c r="AZ6" s="1028"/>
      <c r="BA6" s="1028"/>
      <c r="BB6" s="1028"/>
      <c r="BC6" s="1028"/>
      <c r="BD6" s="1028"/>
      <c r="BE6" s="1028"/>
      <c r="BF6" s="1028"/>
      <c r="BG6" s="1029"/>
    </row>
    <row r="7" spans="1:59" ht="15" thickBot="1" x14ac:dyDescent="0.25">
      <c r="A7" s="1049" t="s">
        <v>746</v>
      </c>
      <c r="B7" s="956"/>
      <c r="C7" s="957"/>
      <c r="D7" s="959" t="str">
        <f>IF(ISBLANK(D5),"",VLOOKUP(D5,Zauberliste,17,FALSE))</f>
        <v/>
      </c>
      <c r="E7" s="960"/>
      <c r="F7" s="960"/>
      <c r="G7" s="961"/>
      <c r="H7" s="955" t="s">
        <v>747</v>
      </c>
      <c r="I7" s="956"/>
      <c r="J7" s="957"/>
      <c r="K7" s="962" t="str">
        <f>IF(ISBLANK(D5),"",VLOOKUP(D5,Zauberliste,18,FALSE))</f>
        <v/>
      </c>
      <c r="L7" s="963"/>
      <c r="M7" s="964"/>
      <c r="N7" s="955" t="s">
        <v>171</v>
      </c>
      <c r="O7" s="956"/>
      <c r="P7" s="956"/>
      <c r="Q7" s="956"/>
      <c r="R7" s="957"/>
      <c r="S7" s="959" t="str">
        <f>IF(ISBLANK(D5),"",IF(VLOOKUP(D5,Zauberliste,12,FALSE)="Zauberspruch",VLOOKUP(D5,Zauberliste,12,FALSE),VLOOKUP(D5,Zauberliste,11,FALSE)))</f>
        <v/>
      </c>
      <c r="T7" s="960"/>
      <c r="U7" s="960"/>
      <c r="V7" s="960"/>
      <c r="W7" s="960"/>
      <c r="X7" s="961"/>
      <c r="Y7" s="1046" t="str">
        <f>IF(S7="Zaubersiegel","Auftragen",IF(S7="Zauberlied","Instrument",IF(S7="Zauberrune","Wirkzeit","Material")))</f>
        <v>Material</v>
      </c>
      <c r="Z7" s="1047"/>
      <c r="AA7" s="1047"/>
      <c r="AB7" s="1047"/>
      <c r="AC7" s="1048"/>
      <c r="AD7" s="1044" t="str">
        <f>IF(ISBLANK(D5),"",VLOOKUP(D5,Zauberliste,16,FALSE))</f>
        <v/>
      </c>
      <c r="AE7" s="1044"/>
      <c r="AF7" s="1044"/>
      <c r="AG7" s="1044"/>
      <c r="AH7" s="1044"/>
      <c r="AI7" s="1044"/>
      <c r="AJ7" s="1044"/>
      <c r="AK7" s="1044"/>
      <c r="AL7" s="1044"/>
      <c r="AM7" s="1044"/>
      <c r="AN7" s="1044"/>
      <c r="AO7" s="1044"/>
      <c r="AP7" s="1044"/>
      <c r="AQ7" s="1044"/>
      <c r="AR7" s="1044"/>
      <c r="AS7" s="1044"/>
      <c r="AT7" s="1044"/>
      <c r="AU7" s="1044"/>
      <c r="AV7" s="1044"/>
      <c r="AW7" s="1044"/>
      <c r="AX7" s="1044"/>
      <c r="AY7" s="1044"/>
      <c r="AZ7" s="1044"/>
      <c r="BA7" s="1044"/>
      <c r="BB7" s="1044"/>
      <c r="BC7" s="1044"/>
      <c r="BD7" s="1044"/>
      <c r="BE7" s="1044"/>
      <c r="BF7" s="1044"/>
      <c r="BG7" s="1045"/>
    </row>
    <row r="8" spans="1:59" x14ac:dyDescent="0.2">
      <c r="A8" s="1036" t="str">
        <f>IF(ISBLANK(D8),"",IF(SpezMagier=S10,$AA$1+2,$AA$1))</f>
        <v/>
      </c>
      <c r="B8" s="1037"/>
      <c r="C8" s="1037"/>
      <c r="D8" s="1038"/>
      <c r="E8" s="1038"/>
      <c r="F8" s="1038"/>
      <c r="G8" s="1038"/>
      <c r="H8" s="1038"/>
      <c r="I8" s="1038"/>
      <c r="J8" s="1038"/>
      <c r="K8" s="1038"/>
      <c r="L8" s="1038"/>
      <c r="M8" s="1038"/>
      <c r="N8" s="1040" t="str">
        <f>IF(ISBLANK(D8),"",VLOOKUP(D8,Zauberliste,5,FALSE))</f>
        <v/>
      </c>
      <c r="O8" s="1040"/>
      <c r="P8" s="1040"/>
      <c r="Q8" s="1040"/>
      <c r="R8" s="1040" t="str">
        <f>IF(ISBLANK(D8),"",VLOOKUP(D8,Zauberliste,8,FALSE))</f>
        <v/>
      </c>
      <c r="S8" s="1040"/>
      <c r="T8" s="1040"/>
      <c r="U8" s="1040"/>
      <c r="V8" s="1041" t="str">
        <f>IF(ISBLANK(D8),"",VLOOKUP(D8,Zauberliste,7,FALSE))</f>
        <v/>
      </c>
      <c r="W8" s="1042"/>
      <c r="X8" s="1043"/>
      <c r="Y8" s="1030"/>
      <c r="Z8" s="1031"/>
      <c r="AA8" s="1031"/>
      <c r="AB8" s="1031"/>
      <c r="AC8" s="1031"/>
      <c r="AD8" s="1031"/>
      <c r="AE8" s="1031"/>
      <c r="AF8" s="1031"/>
      <c r="AG8" s="1031"/>
      <c r="AH8" s="1031"/>
      <c r="AI8" s="1031"/>
      <c r="AJ8" s="1031"/>
      <c r="AK8" s="1031"/>
      <c r="AL8" s="1031"/>
      <c r="AM8" s="1031"/>
      <c r="AN8" s="1031"/>
      <c r="AO8" s="1031"/>
      <c r="AP8" s="1031"/>
      <c r="AQ8" s="1031"/>
      <c r="AR8" s="1031"/>
      <c r="AS8" s="1031"/>
      <c r="AT8" s="1031"/>
      <c r="AU8" s="1031"/>
      <c r="AV8" s="1031"/>
      <c r="AW8" s="1031"/>
      <c r="AX8" s="1031"/>
      <c r="AY8" s="1031"/>
      <c r="AZ8" s="1031"/>
      <c r="BA8" s="1031"/>
      <c r="BB8" s="1031"/>
      <c r="BC8" s="1031"/>
      <c r="BD8" s="1031"/>
      <c r="BE8" s="1031"/>
      <c r="BF8" s="1031"/>
      <c r="BG8" s="1032"/>
    </row>
    <row r="9" spans="1:59" x14ac:dyDescent="0.2">
      <c r="A9" s="1033" t="str">
        <f>IF(ISBLANK(D8),"",VLOOKUP(D8,Zauberliste,4,FALSE))</f>
        <v/>
      </c>
      <c r="B9" s="1034"/>
      <c r="C9" s="1034"/>
      <c r="D9" s="1039"/>
      <c r="E9" s="1039"/>
      <c r="F9" s="1039"/>
      <c r="G9" s="1039"/>
      <c r="H9" s="1039"/>
      <c r="I9" s="1039"/>
      <c r="J9" s="1039"/>
      <c r="K9" s="1039"/>
      <c r="L9" s="1039"/>
      <c r="M9" s="1039"/>
      <c r="N9" s="837" t="str">
        <f>IF(ISBLANK(D8),"",VLOOKUP(D8,Zauberliste,6,FALSE))</f>
        <v/>
      </c>
      <c r="O9" s="1035"/>
      <c r="P9" s="1035"/>
      <c r="Q9" s="839"/>
      <c r="R9" s="1034" t="str">
        <f>IF(ISBLANK(D8),"",VLOOKUP(D8,Zauberliste,9,FALSE))</f>
        <v/>
      </c>
      <c r="S9" s="1034"/>
      <c r="T9" s="1034"/>
      <c r="U9" s="1034"/>
      <c r="V9" s="1034" t="str">
        <f>IF(ISBLANK(D8),"",VLOOKUP(D8,Zauberliste,2,FALSE))</f>
        <v/>
      </c>
      <c r="W9" s="1034"/>
      <c r="X9" s="1034"/>
      <c r="Y9" s="1027"/>
      <c r="Z9" s="1028"/>
      <c r="AA9" s="1028"/>
      <c r="AB9" s="1028"/>
      <c r="AC9" s="1028"/>
      <c r="AD9" s="1028"/>
      <c r="AE9" s="1028"/>
      <c r="AF9" s="1028"/>
      <c r="AG9" s="1028"/>
      <c r="AH9" s="1028"/>
      <c r="AI9" s="1028"/>
      <c r="AJ9" s="1028"/>
      <c r="AK9" s="1028"/>
      <c r="AL9" s="1028"/>
      <c r="AM9" s="1028"/>
      <c r="AN9" s="1028"/>
      <c r="AO9" s="1028"/>
      <c r="AP9" s="1028"/>
      <c r="AQ9" s="1028"/>
      <c r="AR9" s="1028"/>
      <c r="AS9" s="1028"/>
      <c r="AT9" s="1028"/>
      <c r="AU9" s="1028"/>
      <c r="AV9" s="1028"/>
      <c r="AW9" s="1028"/>
      <c r="AX9" s="1028"/>
      <c r="AY9" s="1028"/>
      <c r="AZ9" s="1028"/>
      <c r="BA9" s="1028"/>
      <c r="BB9" s="1028"/>
      <c r="BC9" s="1028"/>
      <c r="BD9" s="1028"/>
      <c r="BE9" s="1028"/>
      <c r="BF9" s="1028"/>
      <c r="BG9" s="1029"/>
    </row>
    <row r="10" spans="1:59" ht="15" thickBot="1" x14ac:dyDescent="0.25">
      <c r="A10" s="1014" t="s">
        <v>746</v>
      </c>
      <c r="B10" s="1015"/>
      <c r="C10" s="1016"/>
      <c r="D10" s="1006" t="str">
        <f>IF(ISBLANK(D8),"",VLOOKUP(D8,Zauberliste,17,FALSE))</f>
        <v/>
      </c>
      <c r="E10" s="1007"/>
      <c r="F10" s="1007"/>
      <c r="G10" s="1008"/>
      <c r="H10" s="1017" t="s">
        <v>747</v>
      </c>
      <c r="I10" s="1015"/>
      <c r="J10" s="1016"/>
      <c r="K10" s="1018" t="str">
        <f>IF(ISBLANK(D8),"",VLOOKUP(D8,Zauberliste,18,FALSE))</f>
        <v/>
      </c>
      <c r="L10" s="1019"/>
      <c r="M10" s="1020"/>
      <c r="N10" s="1017" t="s">
        <v>171</v>
      </c>
      <c r="O10" s="1015"/>
      <c r="P10" s="1015"/>
      <c r="Q10" s="1015"/>
      <c r="R10" s="1016"/>
      <c r="S10" s="1006" t="str">
        <f>IF(ISBLANK(D8),"",IF(VLOOKUP(D8,Zauberliste,12,FALSE)="Zauberspruch",VLOOKUP(D8,Zauberliste,12,FALSE),VLOOKUP(D8,Zauberliste,11,FALSE)))</f>
        <v/>
      </c>
      <c r="T10" s="1007"/>
      <c r="U10" s="1007"/>
      <c r="V10" s="1007"/>
      <c r="W10" s="1007"/>
      <c r="X10" s="1008"/>
      <c r="Y10" s="1009" t="str">
        <f>IF(S10="Zaubersiegel","Auftragen",IF(S10="Zauberlied","Instrument",IF(S10="Zauberrune","Wirkzeit","Material")))</f>
        <v>Material</v>
      </c>
      <c r="Z10" s="1010"/>
      <c r="AA10" s="1010"/>
      <c r="AB10" s="1010"/>
      <c r="AC10" s="1011"/>
      <c r="AD10" s="1012" t="str">
        <f>IF(ISBLANK(D8),"",VLOOKUP(D8,Zauberliste,16,FALSE))</f>
        <v/>
      </c>
      <c r="AE10" s="1012"/>
      <c r="AF10" s="1012"/>
      <c r="AG10" s="1012"/>
      <c r="AH10" s="1012"/>
      <c r="AI10" s="1012"/>
      <c r="AJ10" s="1012"/>
      <c r="AK10" s="1012"/>
      <c r="AL10" s="1012"/>
      <c r="AM10" s="1012"/>
      <c r="AN10" s="1012"/>
      <c r="AO10" s="1012"/>
      <c r="AP10" s="1012"/>
      <c r="AQ10" s="1012"/>
      <c r="AR10" s="1012"/>
      <c r="AS10" s="1012"/>
      <c r="AT10" s="1012"/>
      <c r="AU10" s="1012"/>
      <c r="AV10" s="1012"/>
      <c r="AW10" s="1012"/>
      <c r="AX10" s="1012"/>
      <c r="AY10" s="1012"/>
      <c r="AZ10" s="1012"/>
      <c r="BA10" s="1012"/>
      <c r="BB10" s="1012"/>
      <c r="BC10" s="1012"/>
      <c r="BD10" s="1012"/>
      <c r="BE10" s="1012"/>
      <c r="BF10" s="1012"/>
      <c r="BG10" s="1013"/>
    </row>
    <row r="11" spans="1:59" x14ac:dyDescent="0.2">
      <c r="A11" s="1036" t="str">
        <f>IF(ISBLANK(D11),"",IF(SpezMagier=S13,$AA$1+2,$AA$1))</f>
        <v/>
      </c>
      <c r="B11" s="1037"/>
      <c r="C11" s="1037"/>
      <c r="D11" s="1038"/>
      <c r="E11" s="1038"/>
      <c r="F11" s="1038"/>
      <c r="G11" s="1038"/>
      <c r="H11" s="1038"/>
      <c r="I11" s="1038"/>
      <c r="J11" s="1038"/>
      <c r="K11" s="1038"/>
      <c r="L11" s="1038"/>
      <c r="M11" s="1038"/>
      <c r="N11" s="1040" t="str">
        <f>IF(ISBLANK(D11),"",VLOOKUP(D11,Zauberliste,5,FALSE))</f>
        <v/>
      </c>
      <c r="O11" s="1040"/>
      <c r="P11" s="1040"/>
      <c r="Q11" s="1040"/>
      <c r="R11" s="1040" t="str">
        <f>IF(ISBLANK(D11),"",VLOOKUP(D11,Zauberliste,8,FALSE))</f>
        <v/>
      </c>
      <c r="S11" s="1040"/>
      <c r="T11" s="1040"/>
      <c r="U11" s="1040"/>
      <c r="V11" s="1041" t="str">
        <f>IF(ISBLANK(D11),"",VLOOKUP(D11,Zauberliste,7,FALSE))</f>
        <v/>
      </c>
      <c r="W11" s="1042"/>
      <c r="X11" s="1043"/>
      <c r="Y11" s="1030"/>
      <c r="Z11" s="1031"/>
      <c r="AA11" s="1031"/>
      <c r="AB11" s="1031"/>
      <c r="AC11" s="1031"/>
      <c r="AD11" s="1031"/>
      <c r="AE11" s="1031"/>
      <c r="AF11" s="1031"/>
      <c r="AG11" s="1031"/>
      <c r="AH11" s="1031"/>
      <c r="AI11" s="1031"/>
      <c r="AJ11" s="1031"/>
      <c r="AK11" s="1031"/>
      <c r="AL11" s="1031"/>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c r="BG11" s="1032"/>
    </row>
    <row r="12" spans="1:59" x14ac:dyDescent="0.2">
      <c r="A12" s="1033" t="str">
        <f>IF(ISBLANK(D11),"",VLOOKUP(D11,Zauberliste,4,FALSE))</f>
        <v/>
      </c>
      <c r="B12" s="1034"/>
      <c r="C12" s="1034"/>
      <c r="D12" s="1039"/>
      <c r="E12" s="1039"/>
      <c r="F12" s="1039"/>
      <c r="G12" s="1039"/>
      <c r="H12" s="1039"/>
      <c r="I12" s="1039"/>
      <c r="J12" s="1039"/>
      <c r="K12" s="1039"/>
      <c r="L12" s="1039"/>
      <c r="M12" s="1039"/>
      <c r="N12" s="837" t="str">
        <f>IF(ISBLANK(D11),"",VLOOKUP(D11,Zauberliste,6,FALSE))</f>
        <v/>
      </c>
      <c r="O12" s="1035"/>
      <c r="P12" s="1035"/>
      <c r="Q12" s="839"/>
      <c r="R12" s="1034" t="str">
        <f>IF(ISBLANK(D11),"",VLOOKUP(D11,Zauberliste,9,FALSE))</f>
        <v/>
      </c>
      <c r="S12" s="1034"/>
      <c r="T12" s="1034"/>
      <c r="U12" s="1034"/>
      <c r="V12" s="1034" t="str">
        <f>IF(ISBLANK(D11),"",VLOOKUP(D11,Zauberliste,2,FALSE))</f>
        <v/>
      </c>
      <c r="W12" s="1034"/>
      <c r="X12" s="1034"/>
      <c r="Y12" s="1027"/>
      <c r="Z12" s="1028"/>
      <c r="AA12" s="1028"/>
      <c r="AB12" s="1028"/>
      <c r="AC12" s="1028"/>
      <c r="AD12" s="1028"/>
      <c r="AE12" s="1028"/>
      <c r="AF12" s="1028"/>
      <c r="AG12" s="1028"/>
      <c r="AH12" s="1028"/>
      <c r="AI12" s="1028"/>
      <c r="AJ12" s="1028"/>
      <c r="AK12" s="1028"/>
      <c r="AL12" s="1028"/>
      <c r="AM12" s="1028"/>
      <c r="AN12" s="1028"/>
      <c r="AO12" s="1028"/>
      <c r="AP12" s="1028"/>
      <c r="AQ12" s="1028"/>
      <c r="AR12" s="1028"/>
      <c r="AS12" s="1028"/>
      <c r="AT12" s="1028"/>
      <c r="AU12" s="1028"/>
      <c r="AV12" s="1028"/>
      <c r="AW12" s="1028"/>
      <c r="AX12" s="1028"/>
      <c r="AY12" s="1028"/>
      <c r="AZ12" s="1028"/>
      <c r="BA12" s="1028"/>
      <c r="BB12" s="1028"/>
      <c r="BC12" s="1028"/>
      <c r="BD12" s="1028"/>
      <c r="BE12" s="1028"/>
      <c r="BF12" s="1028"/>
      <c r="BG12" s="1029"/>
    </row>
    <row r="13" spans="1:59" ht="15" thickBot="1" x14ac:dyDescent="0.25">
      <c r="A13" s="1014" t="s">
        <v>746</v>
      </c>
      <c r="B13" s="1015"/>
      <c r="C13" s="1016"/>
      <c r="D13" s="1006" t="str">
        <f>IF(ISBLANK(D11),"",VLOOKUP(D11,Zauberliste,17,FALSE))</f>
        <v/>
      </c>
      <c r="E13" s="1007"/>
      <c r="F13" s="1007"/>
      <c r="G13" s="1008"/>
      <c r="H13" s="1017" t="s">
        <v>747</v>
      </c>
      <c r="I13" s="1015"/>
      <c r="J13" s="1016"/>
      <c r="K13" s="1018" t="str">
        <f>IF(ISBLANK(D11),"",VLOOKUP(D11,Zauberliste,18,FALSE))</f>
        <v/>
      </c>
      <c r="L13" s="1019"/>
      <c r="M13" s="1020"/>
      <c r="N13" s="1017" t="s">
        <v>171</v>
      </c>
      <c r="O13" s="1015"/>
      <c r="P13" s="1015"/>
      <c r="Q13" s="1015"/>
      <c r="R13" s="1016"/>
      <c r="S13" s="1006" t="str">
        <f>IF(ISBLANK(D11),"",IF(VLOOKUP(D11,Zauberliste,12,FALSE)="Zauberspruch",VLOOKUP(D11,Zauberliste,12,FALSE),VLOOKUP(D11,Zauberliste,11,FALSE)))</f>
        <v/>
      </c>
      <c r="T13" s="1007"/>
      <c r="U13" s="1007"/>
      <c r="V13" s="1007"/>
      <c r="W13" s="1007"/>
      <c r="X13" s="1008"/>
      <c r="Y13" s="1009" t="str">
        <f t="shared" ref="Y13:Y44" si="0">IF(S13="Zaubersiegel","Auftragen",IF(S13="Zauberlied","Instrument",IF(S13="Zauberrune","Wirkzeit","Material")))</f>
        <v>Material</v>
      </c>
      <c r="Z13" s="1010"/>
      <c r="AA13" s="1010"/>
      <c r="AB13" s="1010"/>
      <c r="AC13" s="1011"/>
      <c r="AD13" s="1012" t="str">
        <f>IF(ISBLANK(D11),"",VLOOKUP(D11,Zauberliste,16,FALSE))</f>
        <v/>
      </c>
      <c r="AE13" s="1012"/>
      <c r="AF13" s="1012"/>
      <c r="AG13" s="1012"/>
      <c r="AH13" s="1012"/>
      <c r="AI13" s="1012"/>
      <c r="AJ13" s="1012"/>
      <c r="AK13" s="1012"/>
      <c r="AL13" s="1012"/>
      <c r="AM13" s="1012"/>
      <c r="AN13" s="1012"/>
      <c r="AO13" s="1012"/>
      <c r="AP13" s="1012"/>
      <c r="AQ13" s="1012"/>
      <c r="AR13" s="1012"/>
      <c r="AS13" s="1012"/>
      <c r="AT13" s="1012"/>
      <c r="AU13" s="1012"/>
      <c r="AV13" s="1012"/>
      <c r="AW13" s="1012"/>
      <c r="AX13" s="1012"/>
      <c r="AY13" s="1012"/>
      <c r="AZ13" s="1012"/>
      <c r="BA13" s="1012"/>
      <c r="BB13" s="1012"/>
      <c r="BC13" s="1012"/>
      <c r="BD13" s="1012"/>
      <c r="BE13" s="1012"/>
      <c r="BF13" s="1012"/>
      <c r="BG13" s="1013"/>
    </row>
    <row r="14" spans="1:59" x14ac:dyDescent="0.2">
      <c r="A14" s="1036" t="str">
        <f>IF(ISBLANK(D14),"",IF(SpezMagier=S16,$AA$1+2,$AA$1))</f>
        <v/>
      </c>
      <c r="B14" s="1037"/>
      <c r="C14" s="1037"/>
      <c r="D14" s="1038"/>
      <c r="E14" s="1038"/>
      <c r="F14" s="1038"/>
      <c r="G14" s="1038"/>
      <c r="H14" s="1038"/>
      <c r="I14" s="1038"/>
      <c r="J14" s="1038"/>
      <c r="K14" s="1038"/>
      <c r="L14" s="1038"/>
      <c r="M14" s="1038"/>
      <c r="N14" s="1040" t="str">
        <f>IF(ISBLANK(D14),"",VLOOKUP(D14,Zauberliste,5,FALSE))</f>
        <v/>
      </c>
      <c r="O14" s="1040"/>
      <c r="P14" s="1040"/>
      <c r="Q14" s="1040"/>
      <c r="R14" s="1040" t="str">
        <f>IF(ISBLANK(D14),"",VLOOKUP(D14,Zauberliste,8,FALSE))</f>
        <v/>
      </c>
      <c r="S14" s="1040"/>
      <c r="T14" s="1040"/>
      <c r="U14" s="1040"/>
      <c r="V14" s="1041" t="str">
        <f>IF(ISBLANK(D14),"",VLOOKUP(D14,Zauberliste,7,FALSE))</f>
        <v/>
      </c>
      <c r="W14" s="1042"/>
      <c r="X14" s="1043"/>
      <c r="Y14" s="1030"/>
      <c r="Z14" s="1031"/>
      <c r="AA14" s="1031"/>
      <c r="AB14" s="1031"/>
      <c r="AC14" s="1031"/>
      <c r="AD14" s="1031"/>
      <c r="AE14" s="1031"/>
      <c r="AF14" s="1031"/>
      <c r="AG14" s="1031"/>
      <c r="AH14" s="1031"/>
      <c r="AI14" s="1031"/>
      <c r="AJ14" s="1031"/>
      <c r="AK14" s="1031"/>
      <c r="AL14" s="1031"/>
      <c r="AM14" s="1031"/>
      <c r="AN14" s="1031"/>
      <c r="AO14" s="1031"/>
      <c r="AP14" s="1031"/>
      <c r="AQ14" s="1031"/>
      <c r="AR14" s="1031"/>
      <c r="AS14" s="1031"/>
      <c r="AT14" s="1031"/>
      <c r="AU14" s="1031"/>
      <c r="AV14" s="1031"/>
      <c r="AW14" s="1031"/>
      <c r="AX14" s="1031"/>
      <c r="AY14" s="1031"/>
      <c r="AZ14" s="1031"/>
      <c r="BA14" s="1031"/>
      <c r="BB14" s="1031"/>
      <c r="BC14" s="1031"/>
      <c r="BD14" s="1031"/>
      <c r="BE14" s="1031"/>
      <c r="BF14" s="1031"/>
      <c r="BG14" s="1032"/>
    </row>
    <row r="15" spans="1:59" x14ac:dyDescent="0.2">
      <c r="A15" s="1033" t="str">
        <f>IF(ISBLANK(D14),"",VLOOKUP(D14,Zauberliste,4,FALSE))</f>
        <v/>
      </c>
      <c r="B15" s="1034"/>
      <c r="C15" s="1034"/>
      <c r="D15" s="1039"/>
      <c r="E15" s="1039"/>
      <c r="F15" s="1039"/>
      <c r="G15" s="1039"/>
      <c r="H15" s="1039"/>
      <c r="I15" s="1039"/>
      <c r="J15" s="1039"/>
      <c r="K15" s="1039"/>
      <c r="L15" s="1039"/>
      <c r="M15" s="1039"/>
      <c r="N15" s="837" t="str">
        <f>IF(ISBLANK(D14),"",VLOOKUP(D14,Zauberliste,6,FALSE))</f>
        <v/>
      </c>
      <c r="O15" s="1035"/>
      <c r="P15" s="1035"/>
      <c r="Q15" s="839"/>
      <c r="R15" s="1034" t="str">
        <f>IF(ISBLANK(D14),"",VLOOKUP(D14,Zauberliste,9,FALSE))</f>
        <v/>
      </c>
      <c r="S15" s="1034"/>
      <c r="T15" s="1034"/>
      <c r="U15" s="1034"/>
      <c r="V15" s="1034" t="str">
        <f>IF(ISBLANK(D14),"",VLOOKUP(D14,Zauberliste,2,FALSE))</f>
        <v/>
      </c>
      <c r="W15" s="1034"/>
      <c r="X15" s="1034"/>
      <c r="Y15" s="1027"/>
      <c r="Z15" s="1028"/>
      <c r="AA15" s="1028"/>
      <c r="AB15" s="1028"/>
      <c r="AC15" s="1028"/>
      <c r="AD15" s="1028"/>
      <c r="AE15" s="1028"/>
      <c r="AF15" s="1028"/>
      <c r="AG15" s="1028"/>
      <c r="AH15" s="1028"/>
      <c r="AI15" s="1028"/>
      <c r="AJ15" s="1028"/>
      <c r="AK15" s="1028"/>
      <c r="AL15" s="1028"/>
      <c r="AM15" s="1028"/>
      <c r="AN15" s="1028"/>
      <c r="AO15" s="1028"/>
      <c r="AP15" s="1028"/>
      <c r="AQ15" s="1028"/>
      <c r="AR15" s="1028"/>
      <c r="AS15" s="1028"/>
      <c r="AT15" s="1028"/>
      <c r="AU15" s="1028"/>
      <c r="AV15" s="1028"/>
      <c r="AW15" s="1028"/>
      <c r="AX15" s="1028"/>
      <c r="AY15" s="1028"/>
      <c r="AZ15" s="1028"/>
      <c r="BA15" s="1028"/>
      <c r="BB15" s="1028"/>
      <c r="BC15" s="1028"/>
      <c r="BD15" s="1028"/>
      <c r="BE15" s="1028"/>
      <c r="BF15" s="1028"/>
      <c r="BG15" s="1029"/>
    </row>
    <row r="16" spans="1:59" ht="15" thickBot="1" x14ac:dyDescent="0.25">
      <c r="A16" s="1014" t="s">
        <v>746</v>
      </c>
      <c r="B16" s="1015"/>
      <c r="C16" s="1016"/>
      <c r="D16" s="1006" t="str">
        <f>IF(ISBLANK(D14),"",VLOOKUP(D14,Zauberliste,17,FALSE))</f>
        <v/>
      </c>
      <c r="E16" s="1007"/>
      <c r="F16" s="1007"/>
      <c r="G16" s="1008"/>
      <c r="H16" s="1017" t="s">
        <v>747</v>
      </c>
      <c r="I16" s="1015"/>
      <c r="J16" s="1016"/>
      <c r="K16" s="1018" t="str">
        <f>IF(ISBLANK(D14),"",VLOOKUP(D14,Zauberliste,18,FALSE))</f>
        <v/>
      </c>
      <c r="L16" s="1019"/>
      <c r="M16" s="1020"/>
      <c r="N16" s="1017" t="s">
        <v>171</v>
      </c>
      <c r="O16" s="1015"/>
      <c r="P16" s="1015"/>
      <c r="Q16" s="1015"/>
      <c r="R16" s="1016"/>
      <c r="S16" s="1006" t="str">
        <f>IF(ISBLANK(D14),"",IF(VLOOKUP(D14,Zauberliste,12,FALSE)="Zauberspruch",VLOOKUP(D14,Zauberliste,12,FALSE),VLOOKUP(D14,Zauberliste,11,FALSE)))</f>
        <v/>
      </c>
      <c r="T16" s="1007"/>
      <c r="U16" s="1007"/>
      <c r="V16" s="1007"/>
      <c r="W16" s="1007"/>
      <c r="X16" s="1008"/>
      <c r="Y16" s="1009" t="str">
        <f t="shared" ref="Y16:Y61" si="1">IF(S16="Zaubersiegel","Auftragen",IF(S16="Zauberlied","Instrument",IF(S16="Zauberrune","Wirkzeit","Material")))</f>
        <v>Material</v>
      </c>
      <c r="Z16" s="1010"/>
      <c r="AA16" s="1010"/>
      <c r="AB16" s="1010"/>
      <c r="AC16" s="1011"/>
      <c r="AD16" s="1012" t="str">
        <f>IF(ISBLANK(D14),"",VLOOKUP(D14,Zauberliste,16,FALSE))</f>
        <v/>
      </c>
      <c r="AE16" s="1012"/>
      <c r="AF16" s="1012"/>
      <c r="AG16" s="1012"/>
      <c r="AH16" s="1012"/>
      <c r="AI16" s="1012"/>
      <c r="AJ16" s="1012"/>
      <c r="AK16" s="1012"/>
      <c r="AL16" s="1012"/>
      <c r="AM16" s="1012"/>
      <c r="AN16" s="1012"/>
      <c r="AO16" s="1012"/>
      <c r="AP16" s="1012"/>
      <c r="AQ16" s="1012"/>
      <c r="AR16" s="1012"/>
      <c r="AS16" s="1012"/>
      <c r="AT16" s="1012"/>
      <c r="AU16" s="1012"/>
      <c r="AV16" s="1012"/>
      <c r="AW16" s="1012"/>
      <c r="AX16" s="1012"/>
      <c r="AY16" s="1012"/>
      <c r="AZ16" s="1012"/>
      <c r="BA16" s="1012"/>
      <c r="BB16" s="1012"/>
      <c r="BC16" s="1012"/>
      <c r="BD16" s="1012"/>
      <c r="BE16" s="1012"/>
      <c r="BF16" s="1012"/>
      <c r="BG16" s="1013"/>
    </row>
    <row r="17" spans="1:59" x14ac:dyDescent="0.2">
      <c r="A17" s="1036" t="str">
        <f>IF(ISBLANK(D17),"",IF(SpezMagier=S19,$AA$1+2,$AA$1))</f>
        <v/>
      </c>
      <c r="B17" s="1037"/>
      <c r="C17" s="1037"/>
      <c r="D17" s="1038"/>
      <c r="E17" s="1038"/>
      <c r="F17" s="1038"/>
      <c r="G17" s="1038"/>
      <c r="H17" s="1038"/>
      <c r="I17" s="1038"/>
      <c r="J17" s="1038"/>
      <c r="K17" s="1038"/>
      <c r="L17" s="1038"/>
      <c r="M17" s="1038"/>
      <c r="N17" s="1040" t="str">
        <f>IF(ISBLANK(D17),"",VLOOKUP(D17,Zauberliste,5,FALSE))</f>
        <v/>
      </c>
      <c r="O17" s="1040"/>
      <c r="P17" s="1040"/>
      <c r="Q17" s="1040"/>
      <c r="R17" s="1040" t="str">
        <f>IF(ISBLANK(D17),"",VLOOKUP(D17,Zauberliste,8,FALSE))</f>
        <v/>
      </c>
      <c r="S17" s="1040"/>
      <c r="T17" s="1040"/>
      <c r="U17" s="1040"/>
      <c r="V17" s="1041" t="str">
        <f>IF(ISBLANK(D17),"",VLOOKUP(D17,Zauberliste,7,FALSE))</f>
        <v/>
      </c>
      <c r="W17" s="1042"/>
      <c r="X17" s="1043"/>
      <c r="Y17" s="1030"/>
      <c r="Z17" s="1031"/>
      <c r="AA17" s="1031"/>
      <c r="AB17" s="1031"/>
      <c r="AC17" s="1031"/>
      <c r="AD17" s="1031"/>
      <c r="AE17" s="1031"/>
      <c r="AF17" s="1031"/>
      <c r="AG17" s="1031"/>
      <c r="AH17" s="1031"/>
      <c r="AI17" s="1031"/>
      <c r="AJ17" s="1031"/>
      <c r="AK17" s="1031"/>
      <c r="AL17" s="1031"/>
      <c r="AM17" s="1031"/>
      <c r="AN17" s="1031"/>
      <c r="AO17" s="1031"/>
      <c r="AP17" s="1031"/>
      <c r="AQ17" s="1031"/>
      <c r="AR17" s="1031"/>
      <c r="AS17" s="1031"/>
      <c r="AT17" s="1031"/>
      <c r="AU17" s="1031"/>
      <c r="AV17" s="1031"/>
      <c r="AW17" s="1031"/>
      <c r="AX17" s="1031"/>
      <c r="AY17" s="1031"/>
      <c r="AZ17" s="1031"/>
      <c r="BA17" s="1031"/>
      <c r="BB17" s="1031"/>
      <c r="BC17" s="1031"/>
      <c r="BD17" s="1031"/>
      <c r="BE17" s="1031"/>
      <c r="BF17" s="1031"/>
      <c r="BG17" s="1032"/>
    </row>
    <row r="18" spans="1:59" x14ac:dyDescent="0.2">
      <c r="A18" s="1033" t="str">
        <f>IF(ISBLANK(D17),"",VLOOKUP(D17,Zauberliste,4,FALSE))</f>
        <v/>
      </c>
      <c r="B18" s="1034"/>
      <c r="C18" s="1034"/>
      <c r="D18" s="1039"/>
      <c r="E18" s="1039"/>
      <c r="F18" s="1039"/>
      <c r="G18" s="1039"/>
      <c r="H18" s="1039"/>
      <c r="I18" s="1039"/>
      <c r="J18" s="1039"/>
      <c r="K18" s="1039"/>
      <c r="L18" s="1039"/>
      <c r="M18" s="1039"/>
      <c r="N18" s="837" t="str">
        <f>IF(ISBLANK(D17),"",VLOOKUP(D17,Zauberliste,6,FALSE))</f>
        <v/>
      </c>
      <c r="O18" s="1035"/>
      <c r="P18" s="1035"/>
      <c r="Q18" s="839"/>
      <c r="R18" s="1034" t="str">
        <f>IF(ISBLANK(D17),"",VLOOKUP(D17,Zauberliste,9,FALSE))</f>
        <v/>
      </c>
      <c r="S18" s="1034"/>
      <c r="T18" s="1034"/>
      <c r="U18" s="1034"/>
      <c r="V18" s="1034" t="str">
        <f>IF(ISBLANK(D17),"",VLOOKUP(D17,Zauberliste,2,FALSE))</f>
        <v/>
      </c>
      <c r="W18" s="1034"/>
      <c r="X18" s="1034"/>
      <c r="Y18" s="1027"/>
      <c r="Z18" s="1028"/>
      <c r="AA18" s="1028"/>
      <c r="AB18" s="1028"/>
      <c r="AC18" s="1028"/>
      <c r="AD18" s="1028"/>
      <c r="AE18" s="1028"/>
      <c r="AF18" s="1028"/>
      <c r="AG18" s="1028"/>
      <c r="AH18" s="1028"/>
      <c r="AI18" s="1028"/>
      <c r="AJ18" s="1028"/>
      <c r="AK18" s="1028"/>
      <c r="AL18" s="1028"/>
      <c r="AM18" s="1028"/>
      <c r="AN18" s="1028"/>
      <c r="AO18" s="1028"/>
      <c r="AP18" s="1028"/>
      <c r="AQ18" s="1028"/>
      <c r="AR18" s="1028"/>
      <c r="AS18" s="1028"/>
      <c r="AT18" s="1028"/>
      <c r="AU18" s="1028"/>
      <c r="AV18" s="1028"/>
      <c r="AW18" s="1028"/>
      <c r="AX18" s="1028"/>
      <c r="AY18" s="1028"/>
      <c r="AZ18" s="1028"/>
      <c r="BA18" s="1028"/>
      <c r="BB18" s="1028"/>
      <c r="BC18" s="1028"/>
      <c r="BD18" s="1028"/>
      <c r="BE18" s="1028"/>
      <c r="BF18" s="1028"/>
      <c r="BG18" s="1029"/>
    </row>
    <row r="19" spans="1:59" ht="15" thickBot="1" x14ac:dyDescent="0.25">
      <c r="A19" s="1014" t="s">
        <v>746</v>
      </c>
      <c r="B19" s="1015"/>
      <c r="C19" s="1016"/>
      <c r="D19" s="1006" t="str">
        <f>IF(ISBLANK(D17),"",VLOOKUP(D17,Zauberliste,17,FALSE))</f>
        <v/>
      </c>
      <c r="E19" s="1007"/>
      <c r="F19" s="1007"/>
      <c r="G19" s="1008"/>
      <c r="H19" s="1017" t="s">
        <v>747</v>
      </c>
      <c r="I19" s="1015"/>
      <c r="J19" s="1016"/>
      <c r="K19" s="1018" t="str">
        <f>IF(ISBLANK(D17),"",VLOOKUP(D17,Zauberliste,18,FALSE))</f>
        <v/>
      </c>
      <c r="L19" s="1019"/>
      <c r="M19" s="1020"/>
      <c r="N19" s="1017" t="s">
        <v>171</v>
      </c>
      <c r="O19" s="1015"/>
      <c r="P19" s="1015"/>
      <c r="Q19" s="1015"/>
      <c r="R19" s="1016"/>
      <c r="S19" s="1006" t="str">
        <f>IF(ISBLANK(D17),"",IF(VLOOKUP(D17,Zauberliste,12,FALSE)="Zauberspruch",VLOOKUP(D17,Zauberliste,12,FALSE),VLOOKUP(D17,Zauberliste,11,FALSE)))</f>
        <v/>
      </c>
      <c r="T19" s="1007"/>
      <c r="U19" s="1007"/>
      <c r="V19" s="1007"/>
      <c r="W19" s="1007"/>
      <c r="X19" s="1008"/>
      <c r="Y19" s="1009" t="str">
        <f t="shared" ref="Y19:Y61" si="2">IF(S19="Zaubersiegel","Auftragen",IF(S19="Zauberlied","Instrument",IF(S19="Zauberrune","Wirkzeit","Material")))</f>
        <v>Material</v>
      </c>
      <c r="Z19" s="1010"/>
      <c r="AA19" s="1010"/>
      <c r="AB19" s="1010"/>
      <c r="AC19" s="1011"/>
      <c r="AD19" s="1012" t="str">
        <f>IF(ISBLANK(D17),"",VLOOKUP(D17,Zauberliste,16,FALSE))</f>
        <v/>
      </c>
      <c r="AE19" s="1012"/>
      <c r="AF19" s="1012"/>
      <c r="AG19" s="1012"/>
      <c r="AH19" s="1012"/>
      <c r="AI19" s="1012"/>
      <c r="AJ19" s="1012"/>
      <c r="AK19" s="1012"/>
      <c r="AL19" s="1012"/>
      <c r="AM19" s="1012"/>
      <c r="AN19" s="1012"/>
      <c r="AO19" s="1012"/>
      <c r="AP19" s="1012"/>
      <c r="AQ19" s="1012"/>
      <c r="AR19" s="1012"/>
      <c r="AS19" s="1012"/>
      <c r="AT19" s="1012"/>
      <c r="AU19" s="1012"/>
      <c r="AV19" s="1012"/>
      <c r="AW19" s="1012"/>
      <c r="AX19" s="1012"/>
      <c r="AY19" s="1012"/>
      <c r="AZ19" s="1012"/>
      <c r="BA19" s="1012"/>
      <c r="BB19" s="1012"/>
      <c r="BC19" s="1012"/>
      <c r="BD19" s="1012"/>
      <c r="BE19" s="1012"/>
      <c r="BF19" s="1012"/>
      <c r="BG19" s="1013"/>
    </row>
    <row r="20" spans="1:59" x14ac:dyDescent="0.2">
      <c r="A20" s="1036" t="str">
        <f>IF(ISBLANK(D20),"",IF(SpezMagier=S22,$AA$1+2,$AA$1))</f>
        <v/>
      </c>
      <c r="B20" s="1037"/>
      <c r="C20" s="1037"/>
      <c r="D20" s="1038"/>
      <c r="E20" s="1038"/>
      <c r="F20" s="1038"/>
      <c r="G20" s="1038"/>
      <c r="H20" s="1038"/>
      <c r="I20" s="1038"/>
      <c r="J20" s="1038"/>
      <c r="K20" s="1038"/>
      <c r="L20" s="1038"/>
      <c r="M20" s="1038"/>
      <c r="N20" s="1040" t="str">
        <f>IF(ISBLANK(D20),"",VLOOKUP(D20,Zauberliste,5,FALSE))</f>
        <v/>
      </c>
      <c r="O20" s="1040"/>
      <c r="P20" s="1040"/>
      <c r="Q20" s="1040"/>
      <c r="R20" s="1040" t="str">
        <f>IF(ISBLANK(D20),"",VLOOKUP(D20,Zauberliste,8,FALSE))</f>
        <v/>
      </c>
      <c r="S20" s="1040"/>
      <c r="T20" s="1040"/>
      <c r="U20" s="1040"/>
      <c r="V20" s="1041" t="str">
        <f>IF(ISBLANK(D20),"",VLOOKUP(D20,Zauberliste,7,FALSE))</f>
        <v/>
      </c>
      <c r="W20" s="1042"/>
      <c r="X20" s="1043"/>
      <c r="Y20" s="1030"/>
      <c r="Z20" s="1031"/>
      <c r="AA20" s="1031"/>
      <c r="AB20" s="1031"/>
      <c r="AC20" s="1031"/>
      <c r="AD20" s="1031"/>
      <c r="AE20" s="1031"/>
      <c r="AF20" s="1031"/>
      <c r="AG20" s="1031"/>
      <c r="AH20" s="1031"/>
      <c r="AI20" s="1031"/>
      <c r="AJ20" s="1031"/>
      <c r="AK20" s="1031"/>
      <c r="AL20" s="1031"/>
      <c r="AM20" s="1031"/>
      <c r="AN20" s="1031"/>
      <c r="AO20" s="1031"/>
      <c r="AP20" s="1031"/>
      <c r="AQ20" s="1031"/>
      <c r="AR20" s="1031"/>
      <c r="AS20" s="1031"/>
      <c r="AT20" s="1031"/>
      <c r="AU20" s="1031"/>
      <c r="AV20" s="1031"/>
      <c r="AW20" s="1031"/>
      <c r="AX20" s="1031"/>
      <c r="AY20" s="1031"/>
      <c r="AZ20" s="1031"/>
      <c r="BA20" s="1031"/>
      <c r="BB20" s="1031"/>
      <c r="BC20" s="1031"/>
      <c r="BD20" s="1031"/>
      <c r="BE20" s="1031"/>
      <c r="BF20" s="1031"/>
      <c r="BG20" s="1032"/>
    </row>
    <row r="21" spans="1:59" x14ac:dyDescent="0.2">
      <c r="A21" s="1033" t="str">
        <f>IF(ISBLANK(D20),"",VLOOKUP(D20,Zauberliste,4,FALSE))</f>
        <v/>
      </c>
      <c r="B21" s="1034"/>
      <c r="C21" s="1034"/>
      <c r="D21" s="1039"/>
      <c r="E21" s="1039"/>
      <c r="F21" s="1039"/>
      <c r="G21" s="1039"/>
      <c r="H21" s="1039"/>
      <c r="I21" s="1039"/>
      <c r="J21" s="1039"/>
      <c r="K21" s="1039"/>
      <c r="L21" s="1039"/>
      <c r="M21" s="1039"/>
      <c r="N21" s="837" t="str">
        <f>IF(ISBLANK(D20),"",VLOOKUP(D20,Zauberliste,6,FALSE))</f>
        <v/>
      </c>
      <c r="O21" s="1035"/>
      <c r="P21" s="1035"/>
      <c r="Q21" s="839"/>
      <c r="R21" s="1034" t="str">
        <f>IF(ISBLANK(D20),"",VLOOKUP(D20,Zauberliste,9,FALSE))</f>
        <v/>
      </c>
      <c r="S21" s="1034"/>
      <c r="T21" s="1034"/>
      <c r="U21" s="1034"/>
      <c r="V21" s="1034" t="str">
        <f>IF(ISBLANK(D20),"",VLOOKUP(D20,Zauberliste,2,FALSE))</f>
        <v/>
      </c>
      <c r="W21" s="1034"/>
      <c r="X21" s="1034"/>
      <c r="Y21" s="1027"/>
      <c r="Z21" s="1028"/>
      <c r="AA21" s="1028"/>
      <c r="AB21" s="1028"/>
      <c r="AC21" s="1028"/>
      <c r="AD21" s="1028"/>
      <c r="AE21" s="1028"/>
      <c r="AF21" s="1028"/>
      <c r="AG21" s="1028"/>
      <c r="AH21" s="1028"/>
      <c r="AI21" s="1028"/>
      <c r="AJ21" s="1028"/>
      <c r="AK21" s="1028"/>
      <c r="AL21" s="1028"/>
      <c r="AM21" s="1028"/>
      <c r="AN21" s="1028"/>
      <c r="AO21" s="1028"/>
      <c r="AP21" s="1028"/>
      <c r="AQ21" s="1028"/>
      <c r="AR21" s="1028"/>
      <c r="AS21" s="1028"/>
      <c r="AT21" s="1028"/>
      <c r="AU21" s="1028"/>
      <c r="AV21" s="1028"/>
      <c r="AW21" s="1028"/>
      <c r="AX21" s="1028"/>
      <c r="AY21" s="1028"/>
      <c r="AZ21" s="1028"/>
      <c r="BA21" s="1028"/>
      <c r="BB21" s="1028"/>
      <c r="BC21" s="1028"/>
      <c r="BD21" s="1028"/>
      <c r="BE21" s="1028"/>
      <c r="BF21" s="1028"/>
      <c r="BG21" s="1029"/>
    </row>
    <row r="22" spans="1:59" ht="15" thickBot="1" x14ac:dyDescent="0.25">
      <c r="A22" s="1014" t="s">
        <v>746</v>
      </c>
      <c r="B22" s="1015"/>
      <c r="C22" s="1016"/>
      <c r="D22" s="1006" t="str">
        <f>IF(ISBLANK(D20),"",VLOOKUP(D20,Zauberliste,17,FALSE))</f>
        <v/>
      </c>
      <c r="E22" s="1007"/>
      <c r="F22" s="1007"/>
      <c r="G22" s="1008"/>
      <c r="H22" s="1017" t="s">
        <v>747</v>
      </c>
      <c r="I22" s="1015"/>
      <c r="J22" s="1016"/>
      <c r="K22" s="1018" t="str">
        <f>IF(ISBLANK(D20),"",VLOOKUP(D20,Zauberliste,18,FALSE))</f>
        <v/>
      </c>
      <c r="L22" s="1019"/>
      <c r="M22" s="1020"/>
      <c r="N22" s="1017" t="s">
        <v>171</v>
      </c>
      <c r="O22" s="1015"/>
      <c r="P22" s="1015"/>
      <c r="Q22" s="1015"/>
      <c r="R22" s="1016"/>
      <c r="S22" s="1006" t="str">
        <f>IF(ISBLANK(D20),"",IF(VLOOKUP(D20,Zauberliste,12,FALSE)="Zauberspruch",VLOOKUP(D20,Zauberliste,12,FALSE),VLOOKUP(D20,Zauberliste,11,FALSE)))</f>
        <v/>
      </c>
      <c r="T22" s="1007"/>
      <c r="U22" s="1007"/>
      <c r="V22" s="1007"/>
      <c r="W22" s="1007"/>
      <c r="X22" s="1008"/>
      <c r="Y22" s="1009" t="str">
        <f t="shared" ref="Y22:Y61" si="3">IF(S22="Zaubersiegel","Auftragen",IF(S22="Zauberlied","Instrument",IF(S22="Zauberrune","Wirkzeit","Material")))</f>
        <v>Material</v>
      </c>
      <c r="Z22" s="1010"/>
      <c r="AA22" s="1010"/>
      <c r="AB22" s="1010"/>
      <c r="AC22" s="1011"/>
      <c r="AD22" s="1012" t="str">
        <f>IF(ISBLANK(D20),"",VLOOKUP(D20,Zauberliste,16,FALSE))</f>
        <v/>
      </c>
      <c r="AE22" s="1012"/>
      <c r="AF22" s="1012"/>
      <c r="AG22" s="1012"/>
      <c r="AH22" s="1012"/>
      <c r="AI22" s="1012"/>
      <c r="AJ22" s="1012"/>
      <c r="AK22" s="1012"/>
      <c r="AL22" s="1012"/>
      <c r="AM22" s="1012"/>
      <c r="AN22" s="1012"/>
      <c r="AO22" s="1012"/>
      <c r="AP22" s="1012"/>
      <c r="AQ22" s="1012"/>
      <c r="AR22" s="1012"/>
      <c r="AS22" s="1012"/>
      <c r="AT22" s="1012"/>
      <c r="AU22" s="1012"/>
      <c r="AV22" s="1012"/>
      <c r="AW22" s="1012"/>
      <c r="AX22" s="1012"/>
      <c r="AY22" s="1012"/>
      <c r="AZ22" s="1012"/>
      <c r="BA22" s="1012"/>
      <c r="BB22" s="1012"/>
      <c r="BC22" s="1012"/>
      <c r="BD22" s="1012"/>
      <c r="BE22" s="1012"/>
      <c r="BF22" s="1012"/>
      <c r="BG22" s="1013"/>
    </row>
    <row r="23" spans="1:59" x14ac:dyDescent="0.2">
      <c r="A23" s="1036" t="str">
        <f>IF(ISBLANK(D23),"",IF(SpezMagier=S25,$AA$1+2,$AA$1))</f>
        <v/>
      </c>
      <c r="B23" s="1037"/>
      <c r="C23" s="1037"/>
      <c r="D23" s="1038"/>
      <c r="E23" s="1038"/>
      <c r="F23" s="1038"/>
      <c r="G23" s="1038"/>
      <c r="H23" s="1038"/>
      <c r="I23" s="1038"/>
      <c r="J23" s="1038"/>
      <c r="K23" s="1038"/>
      <c r="L23" s="1038"/>
      <c r="M23" s="1038"/>
      <c r="N23" s="1040" t="str">
        <f>IF(ISBLANK(D23),"",VLOOKUP(D23,Zauberliste,5,FALSE))</f>
        <v/>
      </c>
      <c r="O23" s="1040"/>
      <c r="P23" s="1040"/>
      <c r="Q23" s="1040"/>
      <c r="R23" s="1040" t="str">
        <f>IF(ISBLANK(D23),"",VLOOKUP(D23,Zauberliste,8,FALSE))</f>
        <v/>
      </c>
      <c r="S23" s="1040"/>
      <c r="T23" s="1040"/>
      <c r="U23" s="1040"/>
      <c r="V23" s="1041" t="str">
        <f>IF(ISBLANK(D23),"",VLOOKUP(D23,Zauberliste,7,FALSE))</f>
        <v/>
      </c>
      <c r="W23" s="1042"/>
      <c r="X23" s="1043"/>
      <c r="Y23" s="1030"/>
      <c r="Z23" s="1031"/>
      <c r="AA23" s="1031"/>
      <c r="AB23" s="1031"/>
      <c r="AC23" s="1031"/>
      <c r="AD23" s="1031"/>
      <c r="AE23" s="1031"/>
      <c r="AF23" s="1031"/>
      <c r="AG23" s="1031"/>
      <c r="AH23" s="1031"/>
      <c r="AI23" s="1031"/>
      <c r="AJ23" s="1031"/>
      <c r="AK23" s="1031"/>
      <c r="AL23" s="1031"/>
      <c r="AM23" s="1031"/>
      <c r="AN23" s="1031"/>
      <c r="AO23" s="1031"/>
      <c r="AP23" s="1031"/>
      <c r="AQ23" s="1031"/>
      <c r="AR23" s="1031"/>
      <c r="AS23" s="1031"/>
      <c r="AT23" s="1031"/>
      <c r="AU23" s="1031"/>
      <c r="AV23" s="1031"/>
      <c r="AW23" s="1031"/>
      <c r="AX23" s="1031"/>
      <c r="AY23" s="1031"/>
      <c r="AZ23" s="1031"/>
      <c r="BA23" s="1031"/>
      <c r="BB23" s="1031"/>
      <c r="BC23" s="1031"/>
      <c r="BD23" s="1031"/>
      <c r="BE23" s="1031"/>
      <c r="BF23" s="1031"/>
      <c r="BG23" s="1032"/>
    </row>
    <row r="24" spans="1:59" x14ac:dyDescent="0.2">
      <c r="A24" s="1033" t="str">
        <f>IF(ISBLANK(D23),"",VLOOKUP(D23,Zauberliste,4,FALSE))</f>
        <v/>
      </c>
      <c r="B24" s="1034"/>
      <c r="C24" s="1034"/>
      <c r="D24" s="1039"/>
      <c r="E24" s="1039"/>
      <c r="F24" s="1039"/>
      <c r="G24" s="1039"/>
      <c r="H24" s="1039"/>
      <c r="I24" s="1039"/>
      <c r="J24" s="1039"/>
      <c r="K24" s="1039"/>
      <c r="L24" s="1039"/>
      <c r="M24" s="1039"/>
      <c r="N24" s="837" t="str">
        <f>IF(ISBLANK(D23),"",VLOOKUP(D23,Zauberliste,6,FALSE))</f>
        <v/>
      </c>
      <c r="O24" s="1035"/>
      <c r="P24" s="1035"/>
      <c r="Q24" s="839"/>
      <c r="R24" s="1034" t="str">
        <f>IF(ISBLANK(D23),"",VLOOKUP(D23,Zauberliste,9,FALSE))</f>
        <v/>
      </c>
      <c r="S24" s="1034"/>
      <c r="T24" s="1034"/>
      <c r="U24" s="1034"/>
      <c r="V24" s="1034" t="str">
        <f>IF(ISBLANK(D23),"",VLOOKUP(D23,Zauberliste,2,FALSE))</f>
        <v/>
      </c>
      <c r="W24" s="1034"/>
      <c r="X24" s="1034"/>
      <c r="Y24" s="1027"/>
      <c r="Z24" s="1028"/>
      <c r="AA24" s="1028"/>
      <c r="AB24" s="1028"/>
      <c r="AC24" s="1028"/>
      <c r="AD24" s="1028"/>
      <c r="AE24" s="1028"/>
      <c r="AF24" s="1028"/>
      <c r="AG24" s="1028"/>
      <c r="AH24" s="1028"/>
      <c r="AI24" s="1028"/>
      <c r="AJ24" s="1028"/>
      <c r="AK24" s="1028"/>
      <c r="AL24" s="1028"/>
      <c r="AM24" s="1028"/>
      <c r="AN24" s="1028"/>
      <c r="AO24" s="1028"/>
      <c r="AP24" s="1028"/>
      <c r="AQ24" s="1028"/>
      <c r="AR24" s="1028"/>
      <c r="AS24" s="1028"/>
      <c r="AT24" s="1028"/>
      <c r="AU24" s="1028"/>
      <c r="AV24" s="1028"/>
      <c r="AW24" s="1028"/>
      <c r="AX24" s="1028"/>
      <c r="AY24" s="1028"/>
      <c r="AZ24" s="1028"/>
      <c r="BA24" s="1028"/>
      <c r="BB24" s="1028"/>
      <c r="BC24" s="1028"/>
      <c r="BD24" s="1028"/>
      <c r="BE24" s="1028"/>
      <c r="BF24" s="1028"/>
      <c r="BG24" s="1029"/>
    </row>
    <row r="25" spans="1:59" ht="15" thickBot="1" x14ac:dyDescent="0.25">
      <c r="A25" s="1014" t="s">
        <v>746</v>
      </c>
      <c r="B25" s="1015"/>
      <c r="C25" s="1016"/>
      <c r="D25" s="1006" t="str">
        <f>IF(ISBLANK(D23),"",VLOOKUP(D23,Zauberliste,17,FALSE))</f>
        <v/>
      </c>
      <c r="E25" s="1007"/>
      <c r="F25" s="1007"/>
      <c r="G25" s="1008"/>
      <c r="H25" s="1017" t="s">
        <v>747</v>
      </c>
      <c r="I25" s="1015"/>
      <c r="J25" s="1016"/>
      <c r="K25" s="1018" t="str">
        <f>IF(ISBLANK(D23),"",VLOOKUP(D23,Zauberliste,18,FALSE))</f>
        <v/>
      </c>
      <c r="L25" s="1019"/>
      <c r="M25" s="1020"/>
      <c r="N25" s="1017" t="s">
        <v>171</v>
      </c>
      <c r="O25" s="1015"/>
      <c r="P25" s="1015"/>
      <c r="Q25" s="1015"/>
      <c r="R25" s="1016"/>
      <c r="S25" s="1006" t="str">
        <f>IF(ISBLANK(D23),"",IF(VLOOKUP(D23,Zauberliste,12,FALSE)="Zauberspruch",VLOOKUP(D23,Zauberliste,12,FALSE),VLOOKUP(D23,Zauberliste,11,FALSE)))</f>
        <v/>
      </c>
      <c r="T25" s="1007"/>
      <c r="U25" s="1007"/>
      <c r="V25" s="1007"/>
      <c r="W25" s="1007"/>
      <c r="X25" s="1008"/>
      <c r="Y25" s="1009" t="str">
        <f t="shared" ref="Y25:Y61" si="4">IF(S25="Zaubersiegel","Auftragen",IF(S25="Zauberlied","Instrument",IF(S25="Zauberrune","Wirkzeit","Material")))</f>
        <v>Material</v>
      </c>
      <c r="Z25" s="1010"/>
      <c r="AA25" s="1010"/>
      <c r="AB25" s="1010"/>
      <c r="AC25" s="1011"/>
      <c r="AD25" s="1012" t="str">
        <f>IF(ISBLANK(D23),"",VLOOKUP(D23,Zauberliste,16,FALSE))</f>
        <v/>
      </c>
      <c r="AE25" s="1012"/>
      <c r="AF25" s="1012"/>
      <c r="AG25" s="1012"/>
      <c r="AH25" s="1012"/>
      <c r="AI25" s="1012"/>
      <c r="AJ25" s="1012"/>
      <c r="AK25" s="1012"/>
      <c r="AL25" s="1012"/>
      <c r="AM25" s="1012"/>
      <c r="AN25" s="1012"/>
      <c r="AO25" s="1012"/>
      <c r="AP25" s="1012"/>
      <c r="AQ25" s="1012"/>
      <c r="AR25" s="1012"/>
      <c r="AS25" s="1012"/>
      <c r="AT25" s="1012"/>
      <c r="AU25" s="1012"/>
      <c r="AV25" s="1012"/>
      <c r="AW25" s="1012"/>
      <c r="AX25" s="1012"/>
      <c r="AY25" s="1012"/>
      <c r="AZ25" s="1012"/>
      <c r="BA25" s="1012"/>
      <c r="BB25" s="1012"/>
      <c r="BC25" s="1012"/>
      <c r="BD25" s="1012"/>
      <c r="BE25" s="1012"/>
      <c r="BF25" s="1012"/>
      <c r="BG25" s="1013"/>
    </row>
    <row r="26" spans="1:59" x14ac:dyDescent="0.2">
      <c r="A26" s="1036" t="str">
        <f>IF(ISBLANK(D26),"",IF(SpezMagier=S28,$AA$1+2,$AA$1))</f>
        <v/>
      </c>
      <c r="B26" s="1037"/>
      <c r="C26" s="1037"/>
      <c r="D26" s="1038"/>
      <c r="E26" s="1038"/>
      <c r="F26" s="1038"/>
      <c r="G26" s="1038"/>
      <c r="H26" s="1038"/>
      <c r="I26" s="1038"/>
      <c r="J26" s="1038"/>
      <c r="K26" s="1038"/>
      <c r="L26" s="1038"/>
      <c r="M26" s="1038"/>
      <c r="N26" s="1040" t="str">
        <f>IF(ISBLANK(D26),"",VLOOKUP(D26,Zauberliste,5,FALSE))</f>
        <v/>
      </c>
      <c r="O26" s="1040"/>
      <c r="P26" s="1040"/>
      <c r="Q26" s="1040"/>
      <c r="R26" s="1040" t="str">
        <f>IF(ISBLANK(D26),"",VLOOKUP(D26,Zauberliste,8,FALSE))</f>
        <v/>
      </c>
      <c r="S26" s="1040"/>
      <c r="T26" s="1040"/>
      <c r="U26" s="1040"/>
      <c r="V26" s="1041" t="str">
        <f>IF(ISBLANK(D26),"",VLOOKUP(D26,Zauberliste,7,FALSE))</f>
        <v/>
      </c>
      <c r="W26" s="1042"/>
      <c r="X26" s="1043"/>
      <c r="Y26" s="1030"/>
      <c r="Z26" s="1031"/>
      <c r="AA26" s="1031"/>
      <c r="AB26" s="1031"/>
      <c r="AC26" s="1031"/>
      <c r="AD26" s="1031"/>
      <c r="AE26" s="1031"/>
      <c r="AF26" s="1031"/>
      <c r="AG26" s="1031"/>
      <c r="AH26" s="1031"/>
      <c r="AI26" s="1031"/>
      <c r="AJ26" s="1031"/>
      <c r="AK26" s="1031"/>
      <c r="AL26" s="1031"/>
      <c r="AM26" s="1031"/>
      <c r="AN26" s="1031"/>
      <c r="AO26" s="1031"/>
      <c r="AP26" s="1031"/>
      <c r="AQ26" s="1031"/>
      <c r="AR26" s="1031"/>
      <c r="AS26" s="1031"/>
      <c r="AT26" s="1031"/>
      <c r="AU26" s="1031"/>
      <c r="AV26" s="1031"/>
      <c r="AW26" s="1031"/>
      <c r="AX26" s="1031"/>
      <c r="AY26" s="1031"/>
      <c r="AZ26" s="1031"/>
      <c r="BA26" s="1031"/>
      <c r="BB26" s="1031"/>
      <c r="BC26" s="1031"/>
      <c r="BD26" s="1031"/>
      <c r="BE26" s="1031"/>
      <c r="BF26" s="1031"/>
      <c r="BG26" s="1032"/>
    </row>
    <row r="27" spans="1:59" x14ac:dyDescent="0.2">
      <c r="A27" s="1033" t="str">
        <f>IF(ISBLANK(D26),"",VLOOKUP(D26,Zauberliste,4,FALSE))</f>
        <v/>
      </c>
      <c r="B27" s="1034"/>
      <c r="C27" s="1034"/>
      <c r="D27" s="1039"/>
      <c r="E27" s="1039"/>
      <c r="F27" s="1039"/>
      <c r="G27" s="1039"/>
      <c r="H27" s="1039"/>
      <c r="I27" s="1039"/>
      <c r="J27" s="1039"/>
      <c r="K27" s="1039"/>
      <c r="L27" s="1039"/>
      <c r="M27" s="1039"/>
      <c r="N27" s="837" t="str">
        <f>IF(ISBLANK(D26),"",VLOOKUP(D26,Zauberliste,6,FALSE))</f>
        <v/>
      </c>
      <c r="O27" s="1035"/>
      <c r="P27" s="1035"/>
      <c r="Q27" s="839"/>
      <c r="R27" s="1034" t="str">
        <f>IF(ISBLANK(D26),"",VLOOKUP(D26,Zauberliste,9,FALSE))</f>
        <v/>
      </c>
      <c r="S27" s="1034"/>
      <c r="T27" s="1034"/>
      <c r="U27" s="1034"/>
      <c r="V27" s="1034" t="str">
        <f>IF(ISBLANK(D26),"",VLOOKUP(D26,Zauberliste,2,FALSE))</f>
        <v/>
      </c>
      <c r="W27" s="1034"/>
      <c r="X27" s="1034"/>
      <c r="Y27" s="1027"/>
      <c r="Z27" s="1028"/>
      <c r="AA27" s="1028"/>
      <c r="AB27" s="1028"/>
      <c r="AC27" s="1028"/>
      <c r="AD27" s="1028"/>
      <c r="AE27" s="1028"/>
      <c r="AF27" s="1028"/>
      <c r="AG27" s="1028"/>
      <c r="AH27" s="1028"/>
      <c r="AI27" s="1028"/>
      <c r="AJ27" s="1028"/>
      <c r="AK27" s="1028"/>
      <c r="AL27" s="1028"/>
      <c r="AM27" s="1028"/>
      <c r="AN27" s="1028"/>
      <c r="AO27" s="1028"/>
      <c r="AP27" s="1028"/>
      <c r="AQ27" s="1028"/>
      <c r="AR27" s="1028"/>
      <c r="AS27" s="1028"/>
      <c r="AT27" s="1028"/>
      <c r="AU27" s="1028"/>
      <c r="AV27" s="1028"/>
      <c r="AW27" s="1028"/>
      <c r="AX27" s="1028"/>
      <c r="AY27" s="1028"/>
      <c r="AZ27" s="1028"/>
      <c r="BA27" s="1028"/>
      <c r="BB27" s="1028"/>
      <c r="BC27" s="1028"/>
      <c r="BD27" s="1028"/>
      <c r="BE27" s="1028"/>
      <c r="BF27" s="1028"/>
      <c r="BG27" s="1029"/>
    </row>
    <row r="28" spans="1:59" ht="15" thickBot="1" x14ac:dyDescent="0.25">
      <c r="A28" s="1014" t="s">
        <v>746</v>
      </c>
      <c r="B28" s="1015"/>
      <c r="C28" s="1016"/>
      <c r="D28" s="1006" t="str">
        <f>IF(ISBLANK(D26),"",VLOOKUP(D26,Zauberliste,17,FALSE))</f>
        <v/>
      </c>
      <c r="E28" s="1007"/>
      <c r="F28" s="1007"/>
      <c r="G28" s="1008"/>
      <c r="H28" s="1017" t="s">
        <v>747</v>
      </c>
      <c r="I28" s="1015"/>
      <c r="J28" s="1016"/>
      <c r="K28" s="1018" t="str">
        <f>IF(ISBLANK(D26),"",VLOOKUP(D26,Zauberliste,18,FALSE))</f>
        <v/>
      </c>
      <c r="L28" s="1019"/>
      <c r="M28" s="1020"/>
      <c r="N28" s="1017" t="s">
        <v>171</v>
      </c>
      <c r="O28" s="1015"/>
      <c r="P28" s="1015"/>
      <c r="Q28" s="1015"/>
      <c r="R28" s="1016"/>
      <c r="S28" s="1006" t="str">
        <f>IF(ISBLANK(D26),"",IF(VLOOKUP(D26,Zauberliste,12,FALSE)="Zauberspruch",VLOOKUP(D26,Zauberliste,12,FALSE),VLOOKUP(D26,Zauberliste,11,FALSE)))</f>
        <v/>
      </c>
      <c r="T28" s="1007"/>
      <c r="U28" s="1007"/>
      <c r="V28" s="1007"/>
      <c r="W28" s="1007"/>
      <c r="X28" s="1008"/>
      <c r="Y28" s="1009" t="str">
        <f t="shared" ref="Y28:Y61" si="5">IF(S28="Zaubersiegel","Auftragen",IF(S28="Zauberlied","Instrument",IF(S28="Zauberrune","Wirkzeit","Material")))</f>
        <v>Material</v>
      </c>
      <c r="Z28" s="1010"/>
      <c r="AA28" s="1010"/>
      <c r="AB28" s="1010"/>
      <c r="AC28" s="1011"/>
      <c r="AD28" s="1012" t="str">
        <f>IF(ISBLANK(D26),"",VLOOKUP(D26,Zauberliste,16,FALSE))</f>
        <v/>
      </c>
      <c r="AE28" s="1012"/>
      <c r="AF28" s="1012"/>
      <c r="AG28" s="1012"/>
      <c r="AH28" s="1012"/>
      <c r="AI28" s="1012"/>
      <c r="AJ28" s="1012"/>
      <c r="AK28" s="1012"/>
      <c r="AL28" s="1012"/>
      <c r="AM28" s="1012"/>
      <c r="AN28" s="1012"/>
      <c r="AO28" s="1012"/>
      <c r="AP28" s="1012"/>
      <c r="AQ28" s="1012"/>
      <c r="AR28" s="1012"/>
      <c r="AS28" s="1012"/>
      <c r="AT28" s="1012"/>
      <c r="AU28" s="1012"/>
      <c r="AV28" s="1012"/>
      <c r="AW28" s="1012"/>
      <c r="AX28" s="1012"/>
      <c r="AY28" s="1012"/>
      <c r="AZ28" s="1012"/>
      <c r="BA28" s="1012"/>
      <c r="BB28" s="1012"/>
      <c r="BC28" s="1012"/>
      <c r="BD28" s="1012"/>
      <c r="BE28" s="1012"/>
      <c r="BF28" s="1012"/>
      <c r="BG28" s="1013"/>
    </row>
    <row r="29" spans="1:59" x14ac:dyDescent="0.2">
      <c r="A29" s="1036" t="str">
        <f>IF(ISBLANK(D29),"",IF(SpezMagier=S31,$AA$1+2,$AA$1))</f>
        <v/>
      </c>
      <c r="B29" s="1037"/>
      <c r="C29" s="1037"/>
      <c r="D29" s="1038"/>
      <c r="E29" s="1038"/>
      <c r="F29" s="1038"/>
      <c r="G29" s="1038"/>
      <c r="H29" s="1038"/>
      <c r="I29" s="1038"/>
      <c r="J29" s="1038"/>
      <c r="K29" s="1038"/>
      <c r="L29" s="1038"/>
      <c r="M29" s="1038"/>
      <c r="N29" s="1040" t="str">
        <f>IF(ISBLANK(D29),"",VLOOKUP(D29,Zauberliste,5,FALSE))</f>
        <v/>
      </c>
      <c r="O29" s="1040"/>
      <c r="P29" s="1040"/>
      <c r="Q29" s="1040"/>
      <c r="R29" s="1040" t="str">
        <f>IF(ISBLANK(D29),"",VLOOKUP(D29,Zauberliste,8,FALSE))</f>
        <v/>
      </c>
      <c r="S29" s="1040"/>
      <c r="T29" s="1040"/>
      <c r="U29" s="1040"/>
      <c r="V29" s="1041" t="str">
        <f>IF(ISBLANK(D29),"",VLOOKUP(D29,Zauberliste,7,FALSE))</f>
        <v/>
      </c>
      <c r="W29" s="1042"/>
      <c r="X29" s="1043"/>
      <c r="Y29" s="1030"/>
      <c r="Z29" s="1031"/>
      <c r="AA29" s="1031"/>
      <c r="AB29" s="1031"/>
      <c r="AC29" s="1031"/>
      <c r="AD29" s="1031"/>
      <c r="AE29" s="1031"/>
      <c r="AF29" s="1031"/>
      <c r="AG29" s="1031"/>
      <c r="AH29" s="1031"/>
      <c r="AI29" s="1031"/>
      <c r="AJ29" s="1031"/>
      <c r="AK29" s="1031"/>
      <c r="AL29" s="1031"/>
      <c r="AM29" s="1031"/>
      <c r="AN29" s="1031"/>
      <c r="AO29" s="1031"/>
      <c r="AP29" s="1031"/>
      <c r="AQ29" s="1031"/>
      <c r="AR29" s="1031"/>
      <c r="AS29" s="1031"/>
      <c r="AT29" s="1031"/>
      <c r="AU29" s="1031"/>
      <c r="AV29" s="1031"/>
      <c r="AW29" s="1031"/>
      <c r="AX29" s="1031"/>
      <c r="AY29" s="1031"/>
      <c r="AZ29" s="1031"/>
      <c r="BA29" s="1031"/>
      <c r="BB29" s="1031"/>
      <c r="BC29" s="1031"/>
      <c r="BD29" s="1031"/>
      <c r="BE29" s="1031"/>
      <c r="BF29" s="1031"/>
      <c r="BG29" s="1032"/>
    </row>
    <row r="30" spans="1:59" x14ac:dyDescent="0.2">
      <c r="A30" s="1033" t="str">
        <f>IF(ISBLANK(D29),"",VLOOKUP(D29,Zauberliste,4,FALSE))</f>
        <v/>
      </c>
      <c r="B30" s="1034"/>
      <c r="C30" s="1034"/>
      <c r="D30" s="1039"/>
      <c r="E30" s="1039"/>
      <c r="F30" s="1039"/>
      <c r="G30" s="1039"/>
      <c r="H30" s="1039"/>
      <c r="I30" s="1039"/>
      <c r="J30" s="1039"/>
      <c r="K30" s="1039"/>
      <c r="L30" s="1039"/>
      <c r="M30" s="1039"/>
      <c r="N30" s="837" t="str">
        <f>IF(ISBLANK(D29),"",VLOOKUP(D29,Zauberliste,6,FALSE))</f>
        <v/>
      </c>
      <c r="O30" s="1035"/>
      <c r="P30" s="1035"/>
      <c r="Q30" s="839"/>
      <c r="R30" s="1034" t="str">
        <f>IF(ISBLANK(D29),"",VLOOKUP(D29,Zauberliste,9,FALSE))</f>
        <v/>
      </c>
      <c r="S30" s="1034"/>
      <c r="T30" s="1034"/>
      <c r="U30" s="1034"/>
      <c r="V30" s="1034" t="str">
        <f>IF(ISBLANK(D29),"",VLOOKUP(D29,Zauberliste,2,FALSE))</f>
        <v/>
      </c>
      <c r="W30" s="1034"/>
      <c r="X30" s="1034"/>
      <c r="Y30" s="1027"/>
      <c r="Z30" s="1028"/>
      <c r="AA30" s="1028"/>
      <c r="AB30" s="1028"/>
      <c r="AC30" s="1028"/>
      <c r="AD30" s="1028"/>
      <c r="AE30" s="1028"/>
      <c r="AF30" s="1028"/>
      <c r="AG30" s="1028"/>
      <c r="AH30" s="1028"/>
      <c r="AI30" s="1028"/>
      <c r="AJ30" s="1028"/>
      <c r="AK30" s="1028"/>
      <c r="AL30" s="1028"/>
      <c r="AM30" s="1028"/>
      <c r="AN30" s="1028"/>
      <c r="AO30" s="1028"/>
      <c r="AP30" s="1028"/>
      <c r="AQ30" s="1028"/>
      <c r="AR30" s="1028"/>
      <c r="AS30" s="1028"/>
      <c r="AT30" s="1028"/>
      <c r="AU30" s="1028"/>
      <c r="AV30" s="1028"/>
      <c r="AW30" s="1028"/>
      <c r="AX30" s="1028"/>
      <c r="AY30" s="1028"/>
      <c r="AZ30" s="1028"/>
      <c r="BA30" s="1028"/>
      <c r="BB30" s="1028"/>
      <c r="BC30" s="1028"/>
      <c r="BD30" s="1028"/>
      <c r="BE30" s="1028"/>
      <c r="BF30" s="1028"/>
      <c r="BG30" s="1029"/>
    </row>
    <row r="31" spans="1:59" ht="15" thickBot="1" x14ac:dyDescent="0.25">
      <c r="A31" s="1014" t="s">
        <v>746</v>
      </c>
      <c r="B31" s="1015"/>
      <c r="C31" s="1016"/>
      <c r="D31" s="1006" t="str">
        <f>IF(ISBLANK(D29),"",VLOOKUP(D29,Zauberliste,17,FALSE))</f>
        <v/>
      </c>
      <c r="E31" s="1007"/>
      <c r="F31" s="1007"/>
      <c r="G31" s="1008"/>
      <c r="H31" s="1017" t="s">
        <v>747</v>
      </c>
      <c r="I31" s="1015"/>
      <c r="J31" s="1016"/>
      <c r="K31" s="1018" t="str">
        <f>IF(ISBLANK(D29),"",VLOOKUP(D29,Zauberliste,18,FALSE))</f>
        <v/>
      </c>
      <c r="L31" s="1019"/>
      <c r="M31" s="1020"/>
      <c r="N31" s="1017" t="s">
        <v>171</v>
      </c>
      <c r="O31" s="1015"/>
      <c r="P31" s="1015"/>
      <c r="Q31" s="1015"/>
      <c r="R31" s="1016"/>
      <c r="S31" s="1006" t="str">
        <f>IF(ISBLANK(D29),"",IF(VLOOKUP(D29,Zauberliste,12,FALSE)="Zauberspruch",VLOOKUP(D29,Zauberliste,12,FALSE),VLOOKUP(D29,Zauberliste,11,FALSE)))</f>
        <v/>
      </c>
      <c r="T31" s="1007"/>
      <c r="U31" s="1007"/>
      <c r="V31" s="1007"/>
      <c r="W31" s="1007"/>
      <c r="X31" s="1008"/>
      <c r="Y31" s="1009" t="str">
        <f t="shared" ref="Y31:Y61" si="6">IF(S31="Zaubersiegel","Auftragen",IF(S31="Zauberlied","Instrument",IF(S31="Zauberrune","Wirkzeit","Material")))</f>
        <v>Material</v>
      </c>
      <c r="Z31" s="1010"/>
      <c r="AA31" s="1010"/>
      <c r="AB31" s="1010"/>
      <c r="AC31" s="1011"/>
      <c r="AD31" s="1012" t="str">
        <f>IF(ISBLANK(D29),"",VLOOKUP(D29,Zauberliste,16,FALSE))</f>
        <v/>
      </c>
      <c r="AE31" s="1012"/>
      <c r="AF31" s="1012"/>
      <c r="AG31" s="1012"/>
      <c r="AH31" s="1012"/>
      <c r="AI31" s="1012"/>
      <c r="AJ31" s="1012"/>
      <c r="AK31" s="1012"/>
      <c r="AL31" s="1012"/>
      <c r="AM31" s="1012"/>
      <c r="AN31" s="1012"/>
      <c r="AO31" s="1012"/>
      <c r="AP31" s="1012"/>
      <c r="AQ31" s="1012"/>
      <c r="AR31" s="1012"/>
      <c r="AS31" s="1012"/>
      <c r="AT31" s="1012"/>
      <c r="AU31" s="1012"/>
      <c r="AV31" s="1012"/>
      <c r="AW31" s="1012"/>
      <c r="AX31" s="1012"/>
      <c r="AY31" s="1012"/>
      <c r="AZ31" s="1012"/>
      <c r="BA31" s="1012"/>
      <c r="BB31" s="1012"/>
      <c r="BC31" s="1012"/>
      <c r="BD31" s="1012"/>
      <c r="BE31" s="1012"/>
      <c r="BF31" s="1012"/>
      <c r="BG31" s="1013"/>
    </row>
    <row r="32" spans="1:59" x14ac:dyDescent="0.2">
      <c r="A32" s="1036" t="str">
        <f>IF(ISBLANK(D32),"",IF(SpezMagier=S34,$AA$1+2,$AA$1))</f>
        <v/>
      </c>
      <c r="B32" s="1037"/>
      <c r="C32" s="1037"/>
      <c r="D32" s="1038"/>
      <c r="E32" s="1038"/>
      <c r="F32" s="1038"/>
      <c r="G32" s="1038"/>
      <c r="H32" s="1038"/>
      <c r="I32" s="1038"/>
      <c r="J32" s="1038"/>
      <c r="K32" s="1038"/>
      <c r="L32" s="1038"/>
      <c r="M32" s="1038"/>
      <c r="N32" s="1040" t="str">
        <f>IF(ISBLANK(D32),"",VLOOKUP(D32,Zauberliste,5,FALSE))</f>
        <v/>
      </c>
      <c r="O32" s="1040"/>
      <c r="P32" s="1040"/>
      <c r="Q32" s="1040"/>
      <c r="R32" s="1040" t="str">
        <f>IF(ISBLANK(D32),"",VLOOKUP(D32,Zauberliste,8,FALSE))</f>
        <v/>
      </c>
      <c r="S32" s="1040"/>
      <c r="T32" s="1040"/>
      <c r="U32" s="1040"/>
      <c r="V32" s="1041" t="str">
        <f>IF(ISBLANK(D32),"",VLOOKUP(D32,Zauberliste,7,FALSE))</f>
        <v/>
      </c>
      <c r="W32" s="1042"/>
      <c r="X32" s="1043"/>
      <c r="Y32" s="1030"/>
      <c r="Z32" s="1031"/>
      <c r="AA32" s="1031"/>
      <c r="AB32" s="1031"/>
      <c r="AC32" s="1031"/>
      <c r="AD32" s="1031"/>
      <c r="AE32" s="1031"/>
      <c r="AF32" s="1031"/>
      <c r="AG32" s="1031"/>
      <c r="AH32" s="1031"/>
      <c r="AI32" s="1031"/>
      <c r="AJ32" s="1031"/>
      <c r="AK32" s="1031"/>
      <c r="AL32" s="1031"/>
      <c r="AM32" s="1031"/>
      <c r="AN32" s="1031"/>
      <c r="AO32" s="1031"/>
      <c r="AP32" s="1031"/>
      <c r="AQ32" s="1031"/>
      <c r="AR32" s="1031"/>
      <c r="AS32" s="1031"/>
      <c r="AT32" s="1031"/>
      <c r="AU32" s="1031"/>
      <c r="AV32" s="1031"/>
      <c r="AW32" s="1031"/>
      <c r="AX32" s="1031"/>
      <c r="AY32" s="1031"/>
      <c r="AZ32" s="1031"/>
      <c r="BA32" s="1031"/>
      <c r="BB32" s="1031"/>
      <c r="BC32" s="1031"/>
      <c r="BD32" s="1031"/>
      <c r="BE32" s="1031"/>
      <c r="BF32" s="1031"/>
      <c r="BG32" s="1032"/>
    </row>
    <row r="33" spans="1:59" x14ac:dyDescent="0.2">
      <c r="A33" s="1033" t="str">
        <f>IF(ISBLANK(D32),"",VLOOKUP(D32,Zauberliste,4,FALSE))</f>
        <v/>
      </c>
      <c r="B33" s="1034"/>
      <c r="C33" s="1034"/>
      <c r="D33" s="1039"/>
      <c r="E33" s="1039"/>
      <c r="F33" s="1039"/>
      <c r="G33" s="1039"/>
      <c r="H33" s="1039"/>
      <c r="I33" s="1039"/>
      <c r="J33" s="1039"/>
      <c r="K33" s="1039"/>
      <c r="L33" s="1039"/>
      <c r="M33" s="1039"/>
      <c r="N33" s="837" t="str">
        <f>IF(ISBLANK(D32),"",VLOOKUP(D32,Zauberliste,6,FALSE))</f>
        <v/>
      </c>
      <c r="O33" s="1035"/>
      <c r="P33" s="1035"/>
      <c r="Q33" s="839"/>
      <c r="R33" s="1034" t="str">
        <f>IF(ISBLANK(D32),"",VLOOKUP(D32,Zauberliste,9,FALSE))</f>
        <v/>
      </c>
      <c r="S33" s="1034"/>
      <c r="T33" s="1034"/>
      <c r="U33" s="1034"/>
      <c r="V33" s="1034" t="str">
        <f>IF(ISBLANK(D32),"",VLOOKUP(D32,Zauberliste,2,FALSE))</f>
        <v/>
      </c>
      <c r="W33" s="1034"/>
      <c r="X33" s="1034"/>
      <c r="Y33" s="1027"/>
      <c r="Z33" s="1028"/>
      <c r="AA33" s="1028"/>
      <c r="AB33" s="1028"/>
      <c r="AC33" s="1028"/>
      <c r="AD33" s="1028"/>
      <c r="AE33" s="1028"/>
      <c r="AF33" s="1028"/>
      <c r="AG33" s="1028"/>
      <c r="AH33" s="1028"/>
      <c r="AI33" s="1028"/>
      <c r="AJ33" s="1028"/>
      <c r="AK33" s="1028"/>
      <c r="AL33" s="1028"/>
      <c r="AM33" s="1028"/>
      <c r="AN33" s="1028"/>
      <c r="AO33" s="1028"/>
      <c r="AP33" s="1028"/>
      <c r="AQ33" s="1028"/>
      <c r="AR33" s="1028"/>
      <c r="AS33" s="1028"/>
      <c r="AT33" s="1028"/>
      <c r="AU33" s="1028"/>
      <c r="AV33" s="1028"/>
      <c r="AW33" s="1028"/>
      <c r="AX33" s="1028"/>
      <c r="AY33" s="1028"/>
      <c r="AZ33" s="1028"/>
      <c r="BA33" s="1028"/>
      <c r="BB33" s="1028"/>
      <c r="BC33" s="1028"/>
      <c r="BD33" s="1028"/>
      <c r="BE33" s="1028"/>
      <c r="BF33" s="1028"/>
      <c r="BG33" s="1029"/>
    </row>
    <row r="34" spans="1:59" ht="15" thickBot="1" x14ac:dyDescent="0.25">
      <c r="A34" s="1014" t="s">
        <v>746</v>
      </c>
      <c r="B34" s="1015"/>
      <c r="C34" s="1016"/>
      <c r="D34" s="1006" t="str">
        <f>IF(ISBLANK(D32),"",VLOOKUP(D32,Zauberliste,17,FALSE))</f>
        <v/>
      </c>
      <c r="E34" s="1007"/>
      <c r="F34" s="1007"/>
      <c r="G34" s="1008"/>
      <c r="H34" s="1017" t="s">
        <v>747</v>
      </c>
      <c r="I34" s="1015"/>
      <c r="J34" s="1016"/>
      <c r="K34" s="1018" t="str">
        <f>IF(ISBLANK(D32),"",VLOOKUP(D32,Zauberliste,18,FALSE))</f>
        <v/>
      </c>
      <c r="L34" s="1019"/>
      <c r="M34" s="1020"/>
      <c r="N34" s="1017" t="s">
        <v>171</v>
      </c>
      <c r="O34" s="1015"/>
      <c r="P34" s="1015"/>
      <c r="Q34" s="1015"/>
      <c r="R34" s="1016"/>
      <c r="S34" s="1006" t="str">
        <f>IF(ISBLANK(D32),"",IF(VLOOKUP(D32,Zauberliste,12,FALSE)="Zauberspruch",VLOOKUP(D32,Zauberliste,12,FALSE),VLOOKUP(D32,Zauberliste,11,FALSE)))</f>
        <v/>
      </c>
      <c r="T34" s="1007"/>
      <c r="U34" s="1007"/>
      <c r="V34" s="1007"/>
      <c r="W34" s="1007"/>
      <c r="X34" s="1008"/>
      <c r="Y34" s="1009" t="str">
        <f t="shared" ref="Y34:Y61" si="7">IF(S34="Zaubersiegel","Auftragen",IF(S34="Zauberlied","Instrument",IF(S34="Zauberrune","Wirkzeit","Material")))</f>
        <v>Material</v>
      </c>
      <c r="Z34" s="1010"/>
      <c r="AA34" s="1010"/>
      <c r="AB34" s="1010"/>
      <c r="AC34" s="1011"/>
      <c r="AD34" s="1012" t="str">
        <f>IF(ISBLANK(D32),"",VLOOKUP(D32,Zauberliste,16,FALSE))</f>
        <v/>
      </c>
      <c r="AE34" s="1012"/>
      <c r="AF34" s="1012"/>
      <c r="AG34" s="1012"/>
      <c r="AH34" s="1012"/>
      <c r="AI34" s="1012"/>
      <c r="AJ34" s="1012"/>
      <c r="AK34" s="1012"/>
      <c r="AL34" s="1012"/>
      <c r="AM34" s="1012"/>
      <c r="AN34" s="1012"/>
      <c r="AO34" s="1012"/>
      <c r="AP34" s="1012"/>
      <c r="AQ34" s="1012"/>
      <c r="AR34" s="1012"/>
      <c r="AS34" s="1012"/>
      <c r="AT34" s="1012"/>
      <c r="AU34" s="1012"/>
      <c r="AV34" s="1012"/>
      <c r="AW34" s="1012"/>
      <c r="AX34" s="1012"/>
      <c r="AY34" s="1012"/>
      <c r="AZ34" s="1012"/>
      <c r="BA34" s="1012"/>
      <c r="BB34" s="1012"/>
      <c r="BC34" s="1012"/>
      <c r="BD34" s="1012"/>
      <c r="BE34" s="1012"/>
      <c r="BF34" s="1012"/>
      <c r="BG34" s="1013"/>
    </row>
    <row r="35" spans="1:59" x14ac:dyDescent="0.2">
      <c r="A35" s="1036" t="str">
        <f>IF(ISBLANK(D35),"",IF(SpezMagier=S37,$AA$1+2,$AA$1))</f>
        <v/>
      </c>
      <c r="B35" s="1037"/>
      <c r="C35" s="1037"/>
      <c r="D35" s="1038"/>
      <c r="E35" s="1038"/>
      <c r="F35" s="1038"/>
      <c r="G35" s="1038"/>
      <c r="H35" s="1038"/>
      <c r="I35" s="1038"/>
      <c r="J35" s="1038"/>
      <c r="K35" s="1038"/>
      <c r="L35" s="1038"/>
      <c r="M35" s="1038"/>
      <c r="N35" s="1040" t="str">
        <f>IF(ISBLANK(D35),"",VLOOKUP(D35,Zauberliste,5,FALSE))</f>
        <v/>
      </c>
      <c r="O35" s="1040"/>
      <c r="P35" s="1040"/>
      <c r="Q35" s="1040"/>
      <c r="R35" s="1040" t="str">
        <f>IF(ISBLANK(D35),"",VLOOKUP(D35,Zauberliste,8,FALSE))</f>
        <v/>
      </c>
      <c r="S35" s="1040"/>
      <c r="T35" s="1040"/>
      <c r="U35" s="1040"/>
      <c r="V35" s="1041" t="str">
        <f>IF(ISBLANK(D35),"",VLOOKUP(D35,Zauberliste,7,FALSE))</f>
        <v/>
      </c>
      <c r="W35" s="1042"/>
      <c r="X35" s="1043"/>
      <c r="Y35" s="1030"/>
      <c r="Z35" s="1031"/>
      <c r="AA35" s="1031"/>
      <c r="AB35" s="1031"/>
      <c r="AC35" s="1031"/>
      <c r="AD35" s="1031"/>
      <c r="AE35" s="1031"/>
      <c r="AF35" s="1031"/>
      <c r="AG35" s="1031"/>
      <c r="AH35" s="1031"/>
      <c r="AI35" s="1031"/>
      <c r="AJ35" s="1031"/>
      <c r="AK35" s="1031"/>
      <c r="AL35" s="1031"/>
      <c r="AM35" s="1031"/>
      <c r="AN35" s="1031"/>
      <c r="AO35" s="1031"/>
      <c r="AP35" s="1031"/>
      <c r="AQ35" s="1031"/>
      <c r="AR35" s="1031"/>
      <c r="AS35" s="1031"/>
      <c r="AT35" s="1031"/>
      <c r="AU35" s="1031"/>
      <c r="AV35" s="1031"/>
      <c r="AW35" s="1031"/>
      <c r="AX35" s="1031"/>
      <c r="AY35" s="1031"/>
      <c r="AZ35" s="1031"/>
      <c r="BA35" s="1031"/>
      <c r="BB35" s="1031"/>
      <c r="BC35" s="1031"/>
      <c r="BD35" s="1031"/>
      <c r="BE35" s="1031"/>
      <c r="BF35" s="1031"/>
      <c r="BG35" s="1032"/>
    </row>
    <row r="36" spans="1:59" x14ac:dyDescent="0.2">
      <c r="A36" s="1033" t="str">
        <f>IF(ISBLANK(D35),"",VLOOKUP(D35,Zauberliste,4,FALSE))</f>
        <v/>
      </c>
      <c r="B36" s="1034"/>
      <c r="C36" s="1034"/>
      <c r="D36" s="1039"/>
      <c r="E36" s="1039"/>
      <c r="F36" s="1039"/>
      <c r="G36" s="1039"/>
      <c r="H36" s="1039"/>
      <c r="I36" s="1039"/>
      <c r="J36" s="1039"/>
      <c r="K36" s="1039"/>
      <c r="L36" s="1039"/>
      <c r="M36" s="1039"/>
      <c r="N36" s="837" t="str">
        <f>IF(ISBLANK(D35),"",VLOOKUP(D35,Zauberliste,6,FALSE))</f>
        <v/>
      </c>
      <c r="O36" s="1035"/>
      <c r="P36" s="1035"/>
      <c r="Q36" s="839"/>
      <c r="R36" s="1034" t="str">
        <f>IF(ISBLANK(D35),"",VLOOKUP(D35,Zauberliste,9,FALSE))</f>
        <v/>
      </c>
      <c r="S36" s="1034"/>
      <c r="T36" s="1034"/>
      <c r="U36" s="1034"/>
      <c r="V36" s="1034" t="str">
        <f>IF(ISBLANK(D35),"",VLOOKUP(D35,Zauberliste,2,FALSE))</f>
        <v/>
      </c>
      <c r="W36" s="1034"/>
      <c r="X36" s="1034"/>
      <c r="Y36" s="1027"/>
      <c r="Z36" s="1028"/>
      <c r="AA36" s="1028"/>
      <c r="AB36" s="1028"/>
      <c r="AC36" s="1028"/>
      <c r="AD36" s="1028"/>
      <c r="AE36" s="1028"/>
      <c r="AF36" s="1028"/>
      <c r="AG36" s="1028"/>
      <c r="AH36" s="1028"/>
      <c r="AI36" s="1028"/>
      <c r="AJ36" s="1028"/>
      <c r="AK36" s="1028"/>
      <c r="AL36" s="1028"/>
      <c r="AM36" s="1028"/>
      <c r="AN36" s="1028"/>
      <c r="AO36" s="1028"/>
      <c r="AP36" s="1028"/>
      <c r="AQ36" s="1028"/>
      <c r="AR36" s="1028"/>
      <c r="AS36" s="1028"/>
      <c r="AT36" s="1028"/>
      <c r="AU36" s="1028"/>
      <c r="AV36" s="1028"/>
      <c r="AW36" s="1028"/>
      <c r="AX36" s="1028"/>
      <c r="AY36" s="1028"/>
      <c r="AZ36" s="1028"/>
      <c r="BA36" s="1028"/>
      <c r="BB36" s="1028"/>
      <c r="BC36" s="1028"/>
      <c r="BD36" s="1028"/>
      <c r="BE36" s="1028"/>
      <c r="BF36" s="1028"/>
      <c r="BG36" s="1029"/>
    </row>
    <row r="37" spans="1:59" ht="15" thickBot="1" x14ac:dyDescent="0.25">
      <c r="A37" s="1014" t="s">
        <v>746</v>
      </c>
      <c r="B37" s="1015"/>
      <c r="C37" s="1016"/>
      <c r="D37" s="1006" t="str">
        <f>IF(ISBLANK(D35),"",VLOOKUP(D35,Zauberliste,17,FALSE))</f>
        <v/>
      </c>
      <c r="E37" s="1007"/>
      <c r="F37" s="1007"/>
      <c r="G37" s="1008"/>
      <c r="H37" s="1017" t="s">
        <v>747</v>
      </c>
      <c r="I37" s="1015"/>
      <c r="J37" s="1016"/>
      <c r="K37" s="1018" t="str">
        <f>IF(ISBLANK(D35),"",VLOOKUP(D35,Zauberliste,18,FALSE))</f>
        <v/>
      </c>
      <c r="L37" s="1019"/>
      <c r="M37" s="1020"/>
      <c r="N37" s="1017" t="s">
        <v>171</v>
      </c>
      <c r="O37" s="1015"/>
      <c r="P37" s="1015"/>
      <c r="Q37" s="1015"/>
      <c r="R37" s="1016"/>
      <c r="S37" s="1006" t="str">
        <f>IF(ISBLANK(D35),"",IF(VLOOKUP(D35,Zauberliste,12,FALSE)="Zauberspruch",VLOOKUP(D35,Zauberliste,12,FALSE),VLOOKUP(D35,Zauberliste,11,FALSE)))</f>
        <v/>
      </c>
      <c r="T37" s="1007"/>
      <c r="U37" s="1007"/>
      <c r="V37" s="1007"/>
      <c r="W37" s="1007"/>
      <c r="X37" s="1008"/>
      <c r="Y37" s="1009" t="str">
        <f t="shared" ref="Y37:Y61" si="8">IF(S37="Zaubersiegel","Auftragen",IF(S37="Zauberlied","Instrument",IF(S37="Zauberrune","Wirkzeit","Material")))</f>
        <v>Material</v>
      </c>
      <c r="Z37" s="1010"/>
      <c r="AA37" s="1010"/>
      <c r="AB37" s="1010"/>
      <c r="AC37" s="1011"/>
      <c r="AD37" s="1012" t="str">
        <f>IF(ISBLANK(D35),"",VLOOKUP(D35,Zauberliste,16,FALSE))</f>
        <v/>
      </c>
      <c r="AE37" s="1012"/>
      <c r="AF37" s="1012"/>
      <c r="AG37" s="1012"/>
      <c r="AH37" s="1012"/>
      <c r="AI37" s="1012"/>
      <c r="AJ37" s="1012"/>
      <c r="AK37" s="1012"/>
      <c r="AL37" s="1012"/>
      <c r="AM37" s="1012"/>
      <c r="AN37" s="1012"/>
      <c r="AO37" s="1012"/>
      <c r="AP37" s="1012"/>
      <c r="AQ37" s="1012"/>
      <c r="AR37" s="1012"/>
      <c r="AS37" s="1012"/>
      <c r="AT37" s="1012"/>
      <c r="AU37" s="1012"/>
      <c r="AV37" s="1012"/>
      <c r="AW37" s="1012"/>
      <c r="AX37" s="1012"/>
      <c r="AY37" s="1012"/>
      <c r="AZ37" s="1012"/>
      <c r="BA37" s="1012"/>
      <c r="BB37" s="1012"/>
      <c r="BC37" s="1012"/>
      <c r="BD37" s="1012"/>
      <c r="BE37" s="1012"/>
      <c r="BF37" s="1012"/>
      <c r="BG37" s="1013"/>
    </row>
    <row r="38" spans="1:59" x14ac:dyDescent="0.2">
      <c r="A38" s="1036" t="str">
        <f>IF(ISBLANK(D38),"",IF(SpezMagier=S40,$AA$1+2,$AA$1))</f>
        <v/>
      </c>
      <c r="B38" s="1037"/>
      <c r="C38" s="1037"/>
      <c r="D38" s="1038"/>
      <c r="E38" s="1038"/>
      <c r="F38" s="1038"/>
      <c r="G38" s="1038"/>
      <c r="H38" s="1038"/>
      <c r="I38" s="1038"/>
      <c r="J38" s="1038"/>
      <c r="K38" s="1038"/>
      <c r="L38" s="1038"/>
      <c r="M38" s="1038"/>
      <c r="N38" s="1040" t="str">
        <f>IF(ISBLANK(D38),"",VLOOKUP(D38,Zauberliste,5,FALSE))</f>
        <v/>
      </c>
      <c r="O38" s="1040"/>
      <c r="P38" s="1040"/>
      <c r="Q38" s="1040"/>
      <c r="R38" s="1040" t="str">
        <f>IF(ISBLANK(D38),"",VLOOKUP(D38,Zauberliste,8,FALSE))</f>
        <v/>
      </c>
      <c r="S38" s="1040"/>
      <c r="T38" s="1040"/>
      <c r="U38" s="1040"/>
      <c r="V38" s="1041" t="str">
        <f>IF(ISBLANK(D38),"",VLOOKUP(D38,Zauberliste,7,FALSE))</f>
        <v/>
      </c>
      <c r="W38" s="1042"/>
      <c r="X38" s="1043"/>
      <c r="Y38" s="1030"/>
      <c r="Z38" s="1031"/>
      <c r="AA38" s="1031"/>
      <c r="AB38" s="1031"/>
      <c r="AC38" s="1031"/>
      <c r="AD38" s="1031"/>
      <c r="AE38" s="1031"/>
      <c r="AF38" s="1031"/>
      <c r="AG38" s="1031"/>
      <c r="AH38" s="1031"/>
      <c r="AI38" s="1031"/>
      <c r="AJ38" s="1031"/>
      <c r="AK38" s="1031"/>
      <c r="AL38" s="1031"/>
      <c r="AM38" s="1031"/>
      <c r="AN38" s="1031"/>
      <c r="AO38" s="1031"/>
      <c r="AP38" s="1031"/>
      <c r="AQ38" s="1031"/>
      <c r="AR38" s="1031"/>
      <c r="AS38" s="1031"/>
      <c r="AT38" s="1031"/>
      <c r="AU38" s="1031"/>
      <c r="AV38" s="1031"/>
      <c r="AW38" s="1031"/>
      <c r="AX38" s="1031"/>
      <c r="AY38" s="1031"/>
      <c r="AZ38" s="1031"/>
      <c r="BA38" s="1031"/>
      <c r="BB38" s="1031"/>
      <c r="BC38" s="1031"/>
      <c r="BD38" s="1031"/>
      <c r="BE38" s="1031"/>
      <c r="BF38" s="1031"/>
      <c r="BG38" s="1032"/>
    </row>
    <row r="39" spans="1:59" x14ac:dyDescent="0.2">
      <c r="A39" s="1033" t="str">
        <f>IF(ISBLANK(D38),"",VLOOKUP(D38,Zauberliste,4,FALSE))</f>
        <v/>
      </c>
      <c r="B39" s="1034"/>
      <c r="C39" s="1034"/>
      <c r="D39" s="1039"/>
      <c r="E39" s="1039"/>
      <c r="F39" s="1039"/>
      <c r="G39" s="1039"/>
      <c r="H39" s="1039"/>
      <c r="I39" s="1039"/>
      <c r="J39" s="1039"/>
      <c r="K39" s="1039"/>
      <c r="L39" s="1039"/>
      <c r="M39" s="1039"/>
      <c r="N39" s="837" t="str">
        <f>IF(ISBLANK(D38),"",VLOOKUP(D38,Zauberliste,6,FALSE))</f>
        <v/>
      </c>
      <c r="O39" s="1035"/>
      <c r="P39" s="1035"/>
      <c r="Q39" s="839"/>
      <c r="R39" s="1034" t="str">
        <f>IF(ISBLANK(D38),"",VLOOKUP(D38,Zauberliste,9,FALSE))</f>
        <v/>
      </c>
      <c r="S39" s="1034"/>
      <c r="T39" s="1034"/>
      <c r="U39" s="1034"/>
      <c r="V39" s="1034" t="str">
        <f>IF(ISBLANK(D38),"",VLOOKUP(D38,Zauberliste,2,FALSE))</f>
        <v/>
      </c>
      <c r="W39" s="1034"/>
      <c r="X39" s="1034"/>
      <c r="Y39" s="1027"/>
      <c r="Z39" s="1028"/>
      <c r="AA39" s="1028"/>
      <c r="AB39" s="1028"/>
      <c r="AC39" s="1028"/>
      <c r="AD39" s="1028"/>
      <c r="AE39" s="1028"/>
      <c r="AF39" s="1028"/>
      <c r="AG39" s="1028"/>
      <c r="AH39" s="1028"/>
      <c r="AI39" s="1028"/>
      <c r="AJ39" s="1028"/>
      <c r="AK39" s="1028"/>
      <c r="AL39" s="1028"/>
      <c r="AM39" s="1028"/>
      <c r="AN39" s="1028"/>
      <c r="AO39" s="1028"/>
      <c r="AP39" s="1028"/>
      <c r="AQ39" s="1028"/>
      <c r="AR39" s="1028"/>
      <c r="AS39" s="1028"/>
      <c r="AT39" s="1028"/>
      <c r="AU39" s="1028"/>
      <c r="AV39" s="1028"/>
      <c r="AW39" s="1028"/>
      <c r="AX39" s="1028"/>
      <c r="AY39" s="1028"/>
      <c r="AZ39" s="1028"/>
      <c r="BA39" s="1028"/>
      <c r="BB39" s="1028"/>
      <c r="BC39" s="1028"/>
      <c r="BD39" s="1028"/>
      <c r="BE39" s="1028"/>
      <c r="BF39" s="1028"/>
      <c r="BG39" s="1029"/>
    </row>
    <row r="40" spans="1:59" ht="15" thickBot="1" x14ac:dyDescent="0.25">
      <c r="A40" s="1014" t="s">
        <v>746</v>
      </c>
      <c r="B40" s="1015"/>
      <c r="C40" s="1016"/>
      <c r="D40" s="1006" t="str">
        <f>IF(ISBLANK(D38),"",VLOOKUP(D38,Zauberliste,17,FALSE))</f>
        <v/>
      </c>
      <c r="E40" s="1007"/>
      <c r="F40" s="1007"/>
      <c r="G40" s="1008"/>
      <c r="H40" s="1017" t="s">
        <v>747</v>
      </c>
      <c r="I40" s="1015"/>
      <c r="J40" s="1016"/>
      <c r="K40" s="1018" t="str">
        <f>IF(ISBLANK(D38),"",VLOOKUP(D38,Zauberliste,18,FALSE))</f>
        <v/>
      </c>
      <c r="L40" s="1019"/>
      <c r="M40" s="1020"/>
      <c r="N40" s="1017" t="s">
        <v>171</v>
      </c>
      <c r="O40" s="1015"/>
      <c r="P40" s="1015"/>
      <c r="Q40" s="1015"/>
      <c r="R40" s="1016"/>
      <c r="S40" s="1006" t="str">
        <f>IF(ISBLANK(D38),"",IF(VLOOKUP(D38,Zauberliste,12,FALSE)="Zauberspruch",VLOOKUP(D38,Zauberliste,12,FALSE),VLOOKUP(D38,Zauberliste,11,FALSE)))</f>
        <v/>
      </c>
      <c r="T40" s="1007"/>
      <c r="U40" s="1007"/>
      <c r="V40" s="1007"/>
      <c r="W40" s="1007"/>
      <c r="X40" s="1008"/>
      <c r="Y40" s="1009" t="str">
        <f t="shared" ref="Y40:Y61" si="9">IF(S40="Zaubersiegel","Auftragen",IF(S40="Zauberlied","Instrument",IF(S40="Zauberrune","Wirkzeit","Material")))</f>
        <v>Material</v>
      </c>
      <c r="Z40" s="1010"/>
      <c r="AA40" s="1010"/>
      <c r="AB40" s="1010"/>
      <c r="AC40" s="1011"/>
      <c r="AD40" s="1012" t="str">
        <f>IF(ISBLANK(D38),"",VLOOKUP(D38,Zauberliste,16,FALSE))</f>
        <v/>
      </c>
      <c r="AE40" s="1012"/>
      <c r="AF40" s="1012"/>
      <c r="AG40" s="1012"/>
      <c r="AH40" s="1012"/>
      <c r="AI40" s="1012"/>
      <c r="AJ40" s="1012"/>
      <c r="AK40" s="1012"/>
      <c r="AL40" s="1012"/>
      <c r="AM40" s="1012"/>
      <c r="AN40" s="1012"/>
      <c r="AO40" s="1012"/>
      <c r="AP40" s="1012"/>
      <c r="AQ40" s="1012"/>
      <c r="AR40" s="1012"/>
      <c r="AS40" s="1012"/>
      <c r="AT40" s="1012"/>
      <c r="AU40" s="1012"/>
      <c r="AV40" s="1012"/>
      <c r="AW40" s="1012"/>
      <c r="AX40" s="1012"/>
      <c r="AY40" s="1012"/>
      <c r="AZ40" s="1012"/>
      <c r="BA40" s="1012"/>
      <c r="BB40" s="1012"/>
      <c r="BC40" s="1012"/>
      <c r="BD40" s="1012"/>
      <c r="BE40" s="1012"/>
      <c r="BF40" s="1012"/>
      <c r="BG40" s="1013"/>
    </row>
    <row r="41" spans="1:59" x14ac:dyDescent="0.2">
      <c r="A41" s="1036" t="str">
        <f>IF(ISBLANK(D41),"",IF(SpezMagier=S43,$AA$1+2,$AA$1))</f>
        <v/>
      </c>
      <c r="B41" s="1037"/>
      <c r="C41" s="1037"/>
      <c r="D41" s="1038"/>
      <c r="E41" s="1038"/>
      <c r="F41" s="1038"/>
      <c r="G41" s="1038"/>
      <c r="H41" s="1038"/>
      <c r="I41" s="1038"/>
      <c r="J41" s="1038"/>
      <c r="K41" s="1038"/>
      <c r="L41" s="1038"/>
      <c r="M41" s="1038"/>
      <c r="N41" s="1040" t="str">
        <f>IF(ISBLANK(D41),"",VLOOKUP(D41,Zauberliste,5,FALSE))</f>
        <v/>
      </c>
      <c r="O41" s="1040"/>
      <c r="P41" s="1040"/>
      <c r="Q41" s="1040"/>
      <c r="R41" s="1040" t="str">
        <f>IF(ISBLANK(D41),"",VLOOKUP(D41,Zauberliste,8,FALSE))</f>
        <v/>
      </c>
      <c r="S41" s="1040"/>
      <c r="T41" s="1040"/>
      <c r="U41" s="1040"/>
      <c r="V41" s="1041" t="str">
        <f>IF(ISBLANK(D41),"",VLOOKUP(D41,Zauberliste,7,FALSE))</f>
        <v/>
      </c>
      <c r="W41" s="1042"/>
      <c r="X41" s="1043"/>
      <c r="Y41" s="1030"/>
      <c r="Z41" s="1031"/>
      <c r="AA41" s="1031"/>
      <c r="AB41" s="1031"/>
      <c r="AC41" s="1031"/>
      <c r="AD41" s="1031"/>
      <c r="AE41" s="1031"/>
      <c r="AF41" s="1031"/>
      <c r="AG41" s="1031"/>
      <c r="AH41" s="1031"/>
      <c r="AI41" s="1031"/>
      <c r="AJ41" s="1031"/>
      <c r="AK41" s="1031"/>
      <c r="AL41" s="1031"/>
      <c r="AM41" s="1031"/>
      <c r="AN41" s="1031"/>
      <c r="AO41" s="1031"/>
      <c r="AP41" s="1031"/>
      <c r="AQ41" s="1031"/>
      <c r="AR41" s="1031"/>
      <c r="AS41" s="1031"/>
      <c r="AT41" s="1031"/>
      <c r="AU41" s="1031"/>
      <c r="AV41" s="1031"/>
      <c r="AW41" s="1031"/>
      <c r="AX41" s="1031"/>
      <c r="AY41" s="1031"/>
      <c r="AZ41" s="1031"/>
      <c r="BA41" s="1031"/>
      <c r="BB41" s="1031"/>
      <c r="BC41" s="1031"/>
      <c r="BD41" s="1031"/>
      <c r="BE41" s="1031"/>
      <c r="BF41" s="1031"/>
      <c r="BG41" s="1032"/>
    </row>
    <row r="42" spans="1:59" x14ac:dyDescent="0.2">
      <c r="A42" s="1033" t="str">
        <f>IF(ISBLANK(D41),"",VLOOKUP(D41,Zauberliste,4,FALSE))</f>
        <v/>
      </c>
      <c r="B42" s="1034"/>
      <c r="C42" s="1034"/>
      <c r="D42" s="1039"/>
      <c r="E42" s="1039"/>
      <c r="F42" s="1039"/>
      <c r="G42" s="1039"/>
      <c r="H42" s="1039"/>
      <c r="I42" s="1039"/>
      <c r="J42" s="1039"/>
      <c r="K42" s="1039"/>
      <c r="L42" s="1039"/>
      <c r="M42" s="1039"/>
      <c r="N42" s="837" t="str">
        <f>IF(ISBLANK(D41),"",VLOOKUP(D41,Zauberliste,6,FALSE))</f>
        <v/>
      </c>
      <c r="O42" s="1035"/>
      <c r="P42" s="1035"/>
      <c r="Q42" s="839"/>
      <c r="R42" s="1034" t="str">
        <f>IF(ISBLANK(D41),"",VLOOKUP(D41,Zauberliste,9,FALSE))</f>
        <v/>
      </c>
      <c r="S42" s="1034"/>
      <c r="T42" s="1034"/>
      <c r="U42" s="1034"/>
      <c r="V42" s="1034" t="str">
        <f>IF(ISBLANK(D41),"",VLOOKUP(D41,Zauberliste,2,FALSE))</f>
        <v/>
      </c>
      <c r="W42" s="1034"/>
      <c r="X42" s="1034"/>
      <c r="Y42" s="1027"/>
      <c r="Z42" s="1028"/>
      <c r="AA42" s="1028"/>
      <c r="AB42" s="1028"/>
      <c r="AC42" s="1028"/>
      <c r="AD42" s="1028"/>
      <c r="AE42" s="1028"/>
      <c r="AF42" s="1028"/>
      <c r="AG42" s="1028"/>
      <c r="AH42" s="1028"/>
      <c r="AI42" s="1028"/>
      <c r="AJ42" s="1028"/>
      <c r="AK42" s="1028"/>
      <c r="AL42" s="1028"/>
      <c r="AM42" s="1028"/>
      <c r="AN42" s="1028"/>
      <c r="AO42" s="1028"/>
      <c r="AP42" s="1028"/>
      <c r="AQ42" s="1028"/>
      <c r="AR42" s="1028"/>
      <c r="AS42" s="1028"/>
      <c r="AT42" s="1028"/>
      <c r="AU42" s="1028"/>
      <c r="AV42" s="1028"/>
      <c r="AW42" s="1028"/>
      <c r="AX42" s="1028"/>
      <c r="AY42" s="1028"/>
      <c r="AZ42" s="1028"/>
      <c r="BA42" s="1028"/>
      <c r="BB42" s="1028"/>
      <c r="BC42" s="1028"/>
      <c r="BD42" s="1028"/>
      <c r="BE42" s="1028"/>
      <c r="BF42" s="1028"/>
      <c r="BG42" s="1029"/>
    </row>
    <row r="43" spans="1:59" ht="15" thickBot="1" x14ac:dyDescent="0.25">
      <c r="A43" s="1014" t="s">
        <v>746</v>
      </c>
      <c r="B43" s="1015"/>
      <c r="C43" s="1016"/>
      <c r="D43" s="1006" t="str">
        <f>IF(ISBLANK(D41),"",VLOOKUP(D41,Zauberliste,17,FALSE))</f>
        <v/>
      </c>
      <c r="E43" s="1007"/>
      <c r="F43" s="1007"/>
      <c r="G43" s="1008"/>
      <c r="H43" s="1017" t="s">
        <v>747</v>
      </c>
      <c r="I43" s="1015"/>
      <c r="J43" s="1016"/>
      <c r="K43" s="1018" t="str">
        <f>IF(ISBLANK(D41),"",VLOOKUP(D41,Zauberliste,18,FALSE))</f>
        <v/>
      </c>
      <c r="L43" s="1019"/>
      <c r="M43" s="1020"/>
      <c r="N43" s="1017" t="s">
        <v>171</v>
      </c>
      <c r="O43" s="1015"/>
      <c r="P43" s="1015"/>
      <c r="Q43" s="1015"/>
      <c r="R43" s="1016"/>
      <c r="S43" s="1006" t="str">
        <f>IF(ISBLANK(D41),"",IF(VLOOKUP(D41,Zauberliste,12,FALSE)="Zauberspruch",VLOOKUP(D41,Zauberliste,12,FALSE),VLOOKUP(D41,Zauberliste,11,FALSE)))</f>
        <v/>
      </c>
      <c r="T43" s="1007"/>
      <c r="U43" s="1007"/>
      <c r="V43" s="1007"/>
      <c r="W43" s="1007"/>
      <c r="X43" s="1008"/>
      <c r="Y43" s="1009" t="str">
        <f t="shared" ref="Y43:Y61" si="10">IF(S43="Zaubersiegel","Auftragen",IF(S43="Zauberlied","Instrument",IF(S43="Zauberrune","Wirkzeit","Material")))</f>
        <v>Material</v>
      </c>
      <c r="Z43" s="1010"/>
      <c r="AA43" s="1010"/>
      <c r="AB43" s="1010"/>
      <c r="AC43" s="1011"/>
      <c r="AD43" s="1012" t="str">
        <f>IF(ISBLANK(D41),"",VLOOKUP(D41,Zauberliste,16,FALSE))</f>
        <v/>
      </c>
      <c r="AE43" s="1012"/>
      <c r="AF43" s="1012"/>
      <c r="AG43" s="1012"/>
      <c r="AH43" s="1012"/>
      <c r="AI43" s="1012"/>
      <c r="AJ43" s="1012"/>
      <c r="AK43" s="1012"/>
      <c r="AL43" s="1012"/>
      <c r="AM43" s="1012"/>
      <c r="AN43" s="1012"/>
      <c r="AO43" s="1012"/>
      <c r="AP43" s="1012"/>
      <c r="AQ43" s="1012"/>
      <c r="AR43" s="1012"/>
      <c r="AS43" s="1012"/>
      <c r="AT43" s="1012"/>
      <c r="AU43" s="1012"/>
      <c r="AV43" s="1012"/>
      <c r="AW43" s="1012"/>
      <c r="AX43" s="1012"/>
      <c r="AY43" s="1012"/>
      <c r="AZ43" s="1012"/>
      <c r="BA43" s="1012"/>
      <c r="BB43" s="1012"/>
      <c r="BC43" s="1012"/>
      <c r="BD43" s="1012"/>
      <c r="BE43" s="1012"/>
      <c r="BF43" s="1012"/>
      <c r="BG43" s="1013"/>
    </row>
    <row r="44" spans="1:59" x14ac:dyDescent="0.2">
      <c r="A44" s="1036" t="str">
        <f>IF(ISBLANK(D44),"",IF(SpezMagier=S46,$AA$1+2,$AA$1))</f>
        <v/>
      </c>
      <c r="B44" s="1037"/>
      <c r="C44" s="1037"/>
      <c r="D44" s="1038"/>
      <c r="E44" s="1038"/>
      <c r="F44" s="1038"/>
      <c r="G44" s="1038"/>
      <c r="H44" s="1038"/>
      <c r="I44" s="1038"/>
      <c r="J44" s="1038"/>
      <c r="K44" s="1038"/>
      <c r="L44" s="1038"/>
      <c r="M44" s="1038"/>
      <c r="N44" s="1040" t="str">
        <f>IF(ISBLANK(D44),"",VLOOKUP(D44,Zauberliste,5,FALSE))</f>
        <v/>
      </c>
      <c r="O44" s="1040"/>
      <c r="P44" s="1040"/>
      <c r="Q44" s="1040"/>
      <c r="R44" s="1040" t="str">
        <f>IF(ISBLANK(D44),"",VLOOKUP(D44,Zauberliste,8,FALSE))</f>
        <v/>
      </c>
      <c r="S44" s="1040"/>
      <c r="T44" s="1040"/>
      <c r="U44" s="1040"/>
      <c r="V44" s="1041" t="str">
        <f>IF(ISBLANK(D44),"",VLOOKUP(D44,Zauberliste,7,FALSE))</f>
        <v/>
      </c>
      <c r="W44" s="1042"/>
      <c r="X44" s="1043"/>
      <c r="Y44" s="1030"/>
      <c r="Z44" s="1031"/>
      <c r="AA44" s="1031"/>
      <c r="AB44" s="1031"/>
      <c r="AC44" s="1031"/>
      <c r="AD44" s="1031"/>
      <c r="AE44" s="1031"/>
      <c r="AF44" s="1031"/>
      <c r="AG44" s="1031"/>
      <c r="AH44" s="1031"/>
      <c r="AI44" s="1031"/>
      <c r="AJ44" s="1031"/>
      <c r="AK44" s="1031"/>
      <c r="AL44" s="1031"/>
      <c r="AM44" s="1031"/>
      <c r="AN44" s="1031"/>
      <c r="AO44" s="1031"/>
      <c r="AP44" s="1031"/>
      <c r="AQ44" s="1031"/>
      <c r="AR44" s="1031"/>
      <c r="AS44" s="1031"/>
      <c r="AT44" s="1031"/>
      <c r="AU44" s="1031"/>
      <c r="AV44" s="1031"/>
      <c r="AW44" s="1031"/>
      <c r="AX44" s="1031"/>
      <c r="AY44" s="1031"/>
      <c r="AZ44" s="1031"/>
      <c r="BA44" s="1031"/>
      <c r="BB44" s="1031"/>
      <c r="BC44" s="1031"/>
      <c r="BD44" s="1031"/>
      <c r="BE44" s="1031"/>
      <c r="BF44" s="1031"/>
      <c r="BG44" s="1032"/>
    </row>
    <row r="45" spans="1:59" x14ac:dyDescent="0.2">
      <c r="A45" s="1033" t="str">
        <f>IF(ISBLANK(D44),"",VLOOKUP(D44,Zauberliste,4,FALSE))</f>
        <v/>
      </c>
      <c r="B45" s="1034"/>
      <c r="C45" s="1034"/>
      <c r="D45" s="1039"/>
      <c r="E45" s="1039"/>
      <c r="F45" s="1039"/>
      <c r="G45" s="1039"/>
      <c r="H45" s="1039"/>
      <c r="I45" s="1039"/>
      <c r="J45" s="1039"/>
      <c r="K45" s="1039"/>
      <c r="L45" s="1039"/>
      <c r="M45" s="1039"/>
      <c r="N45" s="837" t="str">
        <f>IF(ISBLANK(D44),"",VLOOKUP(D44,Zauberliste,6,FALSE))</f>
        <v/>
      </c>
      <c r="O45" s="1035"/>
      <c r="P45" s="1035"/>
      <c r="Q45" s="839"/>
      <c r="R45" s="1034" t="str">
        <f>IF(ISBLANK(D44),"",VLOOKUP(D44,Zauberliste,9,FALSE))</f>
        <v/>
      </c>
      <c r="S45" s="1034"/>
      <c r="T45" s="1034"/>
      <c r="U45" s="1034"/>
      <c r="V45" s="1034" t="str">
        <f>IF(ISBLANK(D44),"",VLOOKUP(D44,Zauberliste,2,FALSE))</f>
        <v/>
      </c>
      <c r="W45" s="1034"/>
      <c r="X45" s="1034"/>
      <c r="Y45" s="1027"/>
      <c r="Z45" s="1028"/>
      <c r="AA45" s="1028"/>
      <c r="AB45" s="1028"/>
      <c r="AC45" s="1028"/>
      <c r="AD45" s="1028"/>
      <c r="AE45" s="1028"/>
      <c r="AF45" s="1028"/>
      <c r="AG45" s="1028"/>
      <c r="AH45" s="1028"/>
      <c r="AI45" s="1028"/>
      <c r="AJ45" s="1028"/>
      <c r="AK45" s="1028"/>
      <c r="AL45" s="1028"/>
      <c r="AM45" s="1028"/>
      <c r="AN45" s="1028"/>
      <c r="AO45" s="1028"/>
      <c r="AP45" s="1028"/>
      <c r="AQ45" s="1028"/>
      <c r="AR45" s="1028"/>
      <c r="AS45" s="1028"/>
      <c r="AT45" s="1028"/>
      <c r="AU45" s="1028"/>
      <c r="AV45" s="1028"/>
      <c r="AW45" s="1028"/>
      <c r="AX45" s="1028"/>
      <c r="AY45" s="1028"/>
      <c r="AZ45" s="1028"/>
      <c r="BA45" s="1028"/>
      <c r="BB45" s="1028"/>
      <c r="BC45" s="1028"/>
      <c r="BD45" s="1028"/>
      <c r="BE45" s="1028"/>
      <c r="BF45" s="1028"/>
      <c r="BG45" s="1029"/>
    </row>
    <row r="46" spans="1:59" ht="15" thickBot="1" x14ac:dyDescent="0.25">
      <c r="A46" s="1014" t="s">
        <v>746</v>
      </c>
      <c r="B46" s="1015"/>
      <c r="C46" s="1016"/>
      <c r="D46" s="1006" t="str">
        <f>IF(ISBLANK(D44),"",VLOOKUP(D44,Zauberliste,17,FALSE))</f>
        <v/>
      </c>
      <c r="E46" s="1007"/>
      <c r="F46" s="1007"/>
      <c r="G46" s="1008"/>
      <c r="H46" s="1017" t="s">
        <v>747</v>
      </c>
      <c r="I46" s="1015"/>
      <c r="J46" s="1016"/>
      <c r="K46" s="1018" t="str">
        <f>IF(ISBLANK(D44),"",VLOOKUP(D44,Zauberliste,18,FALSE))</f>
        <v/>
      </c>
      <c r="L46" s="1019"/>
      <c r="M46" s="1020"/>
      <c r="N46" s="1017" t="s">
        <v>171</v>
      </c>
      <c r="O46" s="1015"/>
      <c r="P46" s="1015"/>
      <c r="Q46" s="1015"/>
      <c r="R46" s="1016"/>
      <c r="S46" s="1006" t="str">
        <f>IF(ISBLANK(D44),"",IF(VLOOKUP(D44,Zauberliste,12,FALSE)="Zauberspruch",VLOOKUP(D44,Zauberliste,12,FALSE),VLOOKUP(D44,Zauberliste,11,FALSE)))</f>
        <v/>
      </c>
      <c r="T46" s="1007"/>
      <c r="U46" s="1007"/>
      <c r="V46" s="1007"/>
      <c r="W46" s="1007"/>
      <c r="X46" s="1008"/>
      <c r="Y46" s="1009" t="str">
        <f t="shared" ref="Y46:Y61" si="11">IF(S46="Zaubersiegel","Auftragen",IF(S46="Zauberlied","Instrument",IF(S46="Zauberrune","Wirkzeit","Material")))</f>
        <v>Material</v>
      </c>
      <c r="Z46" s="1010"/>
      <c r="AA46" s="1010"/>
      <c r="AB46" s="1010"/>
      <c r="AC46" s="1011"/>
      <c r="AD46" s="1012" t="str">
        <f>IF(ISBLANK(D44),"",VLOOKUP(D44,Zauberliste,16,FALSE))</f>
        <v/>
      </c>
      <c r="AE46" s="1012"/>
      <c r="AF46" s="1012"/>
      <c r="AG46" s="1012"/>
      <c r="AH46" s="1012"/>
      <c r="AI46" s="1012"/>
      <c r="AJ46" s="1012"/>
      <c r="AK46" s="1012"/>
      <c r="AL46" s="1012"/>
      <c r="AM46" s="1012"/>
      <c r="AN46" s="1012"/>
      <c r="AO46" s="1012"/>
      <c r="AP46" s="1012"/>
      <c r="AQ46" s="1012"/>
      <c r="AR46" s="1012"/>
      <c r="AS46" s="1012"/>
      <c r="AT46" s="1012"/>
      <c r="AU46" s="1012"/>
      <c r="AV46" s="1012"/>
      <c r="AW46" s="1012"/>
      <c r="AX46" s="1012"/>
      <c r="AY46" s="1012"/>
      <c r="AZ46" s="1012"/>
      <c r="BA46" s="1012"/>
      <c r="BB46" s="1012"/>
      <c r="BC46" s="1012"/>
      <c r="BD46" s="1012"/>
      <c r="BE46" s="1012"/>
      <c r="BF46" s="1012"/>
      <c r="BG46" s="1013"/>
    </row>
    <row r="47" spans="1:59" x14ac:dyDescent="0.2">
      <c r="A47" s="1036" t="str">
        <f>IF(ISBLANK(D47),"",IF(SpezMagier=S49,$AA$1+2,$AA$1))</f>
        <v/>
      </c>
      <c r="B47" s="1037"/>
      <c r="C47" s="1037"/>
      <c r="D47" s="1038"/>
      <c r="E47" s="1038"/>
      <c r="F47" s="1038"/>
      <c r="G47" s="1038"/>
      <c r="H47" s="1038"/>
      <c r="I47" s="1038"/>
      <c r="J47" s="1038"/>
      <c r="K47" s="1038"/>
      <c r="L47" s="1038"/>
      <c r="M47" s="1038"/>
      <c r="N47" s="1040" t="str">
        <f>IF(ISBLANK(D47),"",VLOOKUP(D47,Zauberliste,5,FALSE))</f>
        <v/>
      </c>
      <c r="O47" s="1040"/>
      <c r="P47" s="1040"/>
      <c r="Q47" s="1040"/>
      <c r="R47" s="1040" t="str">
        <f>IF(ISBLANK(D47),"",VLOOKUP(D47,Zauberliste,8,FALSE))</f>
        <v/>
      </c>
      <c r="S47" s="1040"/>
      <c r="T47" s="1040"/>
      <c r="U47" s="1040"/>
      <c r="V47" s="1041" t="str">
        <f>IF(ISBLANK(D47),"",VLOOKUP(D47,Zauberliste,7,FALSE))</f>
        <v/>
      </c>
      <c r="W47" s="1042"/>
      <c r="X47" s="1043"/>
      <c r="Y47" s="1030"/>
      <c r="Z47" s="1031"/>
      <c r="AA47" s="1031"/>
      <c r="AB47" s="1031"/>
      <c r="AC47" s="1031"/>
      <c r="AD47" s="1031"/>
      <c r="AE47" s="1031"/>
      <c r="AF47" s="1031"/>
      <c r="AG47" s="1031"/>
      <c r="AH47" s="1031"/>
      <c r="AI47" s="1031"/>
      <c r="AJ47" s="1031"/>
      <c r="AK47" s="1031"/>
      <c r="AL47" s="1031"/>
      <c r="AM47" s="1031"/>
      <c r="AN47" s="1031"/>
      <c r="AO47" s="1031"/>
      <c r="AP47" s="1031"/>
      <c r="AQ47" s="1031"/>
      <c r="AR47" s="1031"/>
      <c r="AS47" s="1031"/>
      <c r="AT47" s="1031"/>
      <c r="AU47" s="1031"/>
      <c r="AV47" s="1031"/>
      <c r="AW47" s="1031"/>
      <c r="AX47" s="1031"/>
      <c r="AY47" s="1031"/>
      <c r="AZ47" s="1031"/>
      <c r="BA47" s="1031"/>
      <c r="BB47" s="1031"/>
      <c r="BC47" s="1031"/>
      <c r="BD47" s="1031"/>
      <c r="BE47" s="1031"/>
      <c r="BF47" s="1031"/>
      <c r="BG47" s="1032"/>
    </row>
    <row r="48" spans="1:59" x14ac:dyDescent="0.2">
      <c r="A48" s="1033" t="str">
        <f>IF(ISBLANK(D47),"",VLOOKUP(D47,Zauberliste,4,FALSE))</f>
        <v/>
      </c>
      <c r="B48" s="1034"/>
      <c r="C48" s="1034"/>
      <c r="D48" s="1039"/>
      <c r="E48" s="1039"/>
      <c r="F48" s="1039"/>
      <c r="G48" s="1039"/>
      <c r="H48" s="1039"/>
      <c r="I48" s="1039"/>
      <c r="J48" s="1039"/>
      <c r="K48" s="1039"/>
      <c r="L48" s="1039"/>
      <c r="M48" s="1039"/>
      <c r="N48" s="837" t="str">
        <f>IF(ISBLANK(D47),"",VLOOKUP(D47,Zauberliste,6,FALSE))</f>
        <v/>
      </c>
      <c r="O48" s="1035"/>
      <c r="P48" s="1035"/>
      <c r="Q48" s="839"/>
      <c r="R48" s="1034" t="str">
        <f>IF(ISBLANK(D47),"",VLOOKUP(D47,Zauberliste,9,FALSE))</f>
        <v/>
      </c>
      <c r="S48" s="1034"/>
      <c r="T48" s="1034"/>
      <c r="U48" s="1034"/>
      <c r="V48" s="1034" t="str">
        <f>IF(ISBLANK(D47),"",VLOOKUP(D47,Zauberliste,2,FALSE))</f>
        <v/>
      </c>
      <c r="W48" s="1034"/>
      <c r="X48" s="1034"/>
      <c r="Y48" s="1027"/>
      <c r="Z48" s="1028"/>
      <c r="AA48" s="1028"/>
      <c r="AB48" s="1028"/>
      <c r="AC48" s="1028"/>
      <c r="AD48" s="1028"/>
      <c r="AE48" s="1028"/>
      <c r="AF48" s="1028"/>
      <c r="AG48" s="1028"/>
      <c r="AH48" s="1028"/>
      <c r="AI48" s="1028"/>
      <c r="AJ48" s="1028"/>
      <c r="AK48" s="1028"/>
      <c r="AL48" s="1028"/>
      <c r="AM48" s="1028"/>
      <c r="AN48" s="1028"/>
      <c r="AO48" s="1028"/>
      <c r="AP48" s="1028"/>
      <c r="AQ48" s="1028"/>
      <c r="AR48" s="1028"/>
      <c r="AS48" s="1028"/>
      <c r="AT48" s="1028"/>
      <c r="AU48" s="1028"/>
      <c r="AV48" s="1028"/>
      <c r="AW48" s="1028"/>
      <c r="AX48" s="1028"/>
      <c r="AY48" s="1028"/>
      <c r="AZ48" s="1028"/>
      <c r="BA48" s="1028"/>
      <c r="BB48" s="1028"/>
      <c r="BC48" s="1028"/>
      <c r="BD48" s="1028"/>
      <c r="BE48" s="1028"/>
      <c r="BF48" s="1028"/>
      <c r="BG48" s="1029"/>
    </row>
    <row r="49" spans="1:59" ht="15" thickBot="1" x14ac:dyDescent="0.25">
      <c r="A49" s="1014" t="s">
        <v>746</v>
      </c>
      <c r="B49" s="1015"/>
      <c r="C49" s="1016"/>
      <c r="D49" s="1006" t="str">
        <f>IF(ISBLANK(D47),"",VLOOKUP(D47,Zauberliste,17,FALSE))</f>
        <v/>
      </c>
      <c r="E49" s="1007"/>
      <c r="F49" s="1007"/>
      <c r="G49" s="1008"/>
      <c r="H49" s="1017" t="s">
        <v>747</v>
      </c>
      <c r="I49" s="1015"/>
      <c r="J49" s="1016"/>
      <c r="K49" s="1018" t="str">
        <f>IF(ISBLANK(D47),"",VLOOKUP(D47,Zauberliste,18,FALSE))</f>
        <v/>
      </c>
      <c r="L49" s="1019"/>
      <c r="M49" s="1020"/>
      <c r="N49" s="1017" t="s">
        <v>171</v>
      </c>
      <c r="O49" s="1015"/>
      <c r="P49" s="1015"/>
      <c r="Q49" s="1015"/>
      <c r="R49" s="1016"/>
      <c r="S49" s="1006" t="str">
        <f>IF(ISBLANK(D47),"",IF(VLOOKUP(D47,Zauberliste,12,FALSE)="Zauberspruch",VLOOKUP(D47,Zauberliste,12,FALSE),VLOOKUP(D47,Zauberliste,11,FALSE)))</f>
        <v/>
      </c>
      <c r="T49" s="1007"/>
      <c r="U49" s="1007"/>
      <c r="V49" s="1007"/>
      <c r="W49" s="1007"/>
      <c r="X49" s="1008"/>
      <c r="Y49" s="1009" t="str">
        <f t="shared" ref="Y49:Y61" si="12">IF(S49="Zaubersiegel","Auftragen",IF(S49="Zauberlied","Instrument",IF(S49="Zauberrune","Wirkzeit","Material")))</f>
        <v>Material</v>
      </c>
      <c r="Z49" s="1010"/>
      <c r="AA49" s="1010"/>
      <c r="AB49" s="1010"/>
      <c r="AC49" s="1011"/>
      <c r="AD49" s="1012" t="str">
        <f>IF(ISBLANK(D47),"",VLOOKUP(D47,Zauberliste,16,FALSE))</f>
        <v/>
      </c>
      <c r="AE49" s="1012"/>
      <c r="AF49" s="1012"/>
      <c r="AG49" s="1012"/>
      <c r="AH49" s="1012"/>
      <c r="AI49" s="1012"/>
      <c r="AJ49" s="1012"/>
      <c r="AK49" s="1012"/>
      <c r="AL49" s="1012"/>
      <c r="AM49" s="1012"/>
      <c r="AN49" s="1012"/>
      <c r="AO49" s="1012"/>
      <c r="AP49" s="1012"/>
      <c r="AQ49" s="1012"/>
      <c r="AR49" s="1012"/>
      <c r="AS49" s="1012"/>
      <c r="AT49" s="1012"/>
      <c r="AU49" s="1012"/>
      <c r="AV49" s="1012"/>
      <c r="AW49" s="1012"/>
      <c r="AX49" s="1012"/>
      <c r="AY49" s="1012"/>
      <c r="AZ49" s="1012"/>
      <c r="BA49" s="1012"/>
      <c r="BB49" s="1012"/>
      <c r="BC49" s="1012"/>
      <c r="BD49" s="1012"/>
      <c r="BE49" s="1012"/>
      <c r="BF49" s="1012"/>
      <c r="BG49" s="1013"/>
    </row>
    <row r="50" spans="1:59" x14ac:dyDescent="0.2">
      <c r="A50" s="1036" t="str">
        <f>IF(ISBLANK(D50),"",IF(SpezMagier=S52,$AA$1+2,$AA$1))</f>
        <v/>
      </c>
      <c r="B50" s="1037"/>
      <c r="C50" s="1037"/>
      <c r="D50" s="1038"/>
      <c r="E50" s="1038"/>
      <c r="F50" s="1038"/>
      <c r="G50" s="1038"/>
      <c r="H50" s="1038"/>
      <c r="I50" s="1038"/>
      <c r="J50" s="1038"/>
      <c r="K50" s="1038"/>
      <c r="L50" s="1038"/>
      <c r="M50" s="1038"/>
      <c r="N50" s="1040" t="str">
        <f>IF(ISBLANK(D50),"",VLOOKUP(D50,Zauberliste,5,FALSE))</f>
        <v/>
      </c>
      <c r="O50" s="1040"/>
      <c r="P50" s="1040"/>
      <c r="Q50" s="1040"/>
      <c r="R50" s="1040" t="str">
        <f>IF(ISBLANK(D50),"",VLOOKUP(D50,Zauberliste,8,FALSE))</f>
        <v/>
      </c>
      <c r="S50" s="1040"/>
      <c r="T50" s="1040"/>
      <c r="U50" s="1040"/>
      <c r="V50" s="1041" t="str">
        <f>IF(ISBLANK(D50),"",VLOOKUP(D50,Zauberliste,7,FALSE))</f>
        <v/>
      </c>
      <c r="W50" s="1042"/>
      <c r="X50" s="1043"/>
      <c r="Y50" s="1030"/>
      <c r="Z50" s="1031"/>
      <c r="AA50" s="1031"/>
      <c r="AB50" s="1031"/>
      <c r="AC50" s="1031"/>
      <c r="AD50" s="1031"/>
      <c r="AE50" s="1031"/>
      <c r="AF50" s="1031"/>
      <c r="AG50" s="1031"/>
      <c r="AH50" s="1031"/>
      <c r="AI50" s="1031"/>
      <c r="AJ50" s="1031"/>
      <c r="AK50" s="1031"/>
      <c r="AL50" s="1031"/>
      <c r="AM50" s="1031"/>
      <c r="AN50" s="1031"/>
      <c r="AO50" s="1031"/>
      <c r="AP50" s="1031"/>
      <c r="AQ50" s="1031"/>
      <c r="AR50" s="1031"/>
      <c r="AS50" s="1031"/>
      <c r="AT50" s="1031"/>
      <c r="AU50" s="1031"/>
      <c r="AV50" s="1031"/>
      <c r="AW50" s="1031"/>
      <c r="AX50" s="1031"/>
      <c r="AY50" s="1031"/>
      <c r="AZ50" s="1031"/>
      <c r="BA50" s="1031"/>
      <c r="BB50" s="1031"/>
      <c r="BC50" s="1031"/>
      <c r="BD50" s="1031"/>
      <c r="BE50" s="1031"/>
      <c r="BF50" s="1031"/>
      <c r="BG50" s="1032"/>
    </row>
    <row r="51" spans="1:59" x14ac:dyDescent="0.2">
      <c r="A51" s="1033" t="str">
        <f>IF(ISBLANK(D50),"",VLOOKUP(D50,Zauberliste,4,FALSE))</f>
        <v/>
      </c>
      <c r="B51" s="1034"/>
      <c r="C51" s="1034"/>
      <c r="D51" s="1039"/>
      <c r="E51" s="1039"/>
      <c r="F51" s="1039"/>
      <c r="G51" s="1039"/>
      <c r="H51" s="1039"/>
      <c r="I51" s="1039"/>
      <c r="J51" s="1039"/>
      <c r="K51" s="1039"/>
      <c r="L51" s="1039"/>
      <c r="M51" s="1039"/>
      <c r="N51" s="837" t="str">
        <f>IF(ISBLANK(D50),"",VLOOKUP(D50,Zauberliste,6,FALSE))</f>
        <v/>
      </c>
      <c r="O51" s="1035"/>
      <c r="P51" s="1035"/>
      <c r="Q51" s="839"/>
      <c r="R51" s="1034" t="str">
        <f>IF(ISBLANK(D50),"",VLOOKUP(D50,Zauberliste,9,FALSE))</f>
        <v/>
      </c>
      <c r="S51" s="1034"/>
      <c r="T51" s="1034"/>
      <c r="U51" s="1034"/>
      <c r="V51" s="1034" t="str">
        <f>IF(ISBLANK(D50),"",VLOOKUP(D50,Zauberliste,2,FALSE))</f>
        <v/>
      </c>
      <c r="W51" s="1034"/>
      <c r="X51" s="1034"/>
      <c r="Y51" s="1027"/>
      <c r="Z51" s="1028"/>
      <c r="AA51" s="1028"/>
      <c r="AB51" s="1028"/>
      <c r="AC51" s="1028"/>
      <c r="AD51" s="1028"/>
      <c r="AE51" s="1028"/>
      <c r="AF51" s="1028"/>
      <c r="AG51" s="1028"/>
      <c r="AH51" s="1028"/>
      <c r="AI51" s="1028"/>
      <c r="AJ51" s="1028"/>
      <c r="AK51" s="1028"/>
      <c r="AL51" s="1028"/>
      <c r="AM51" s="1028"/>
      <c r="AN51" s="1028"/>
      <c r="AO51" s="1028"/>
      <c r="AP51" s="1028"/>
      <c r="AQ51" s="1028"/>
      <c r="AR51" s="1028"/>
      <c r="AS51" s="1028"/>
      <c r="AT51" s="1028"/>
      <c r="AU51" s="1028"/>
      <c r="AV51" s="1028"/>
      <c r="AW51" s="1028"/>
      <c r="AX51" s="1028"/>
      <c r="AY51" s="1028"/>
      <c r="AZ51" s="1028"/>
      <c r="BA51" s="1028"/>
      <c r="BB51" s="1028"/>
      <c r="BC51" s="1028"/>
      <c r="BD51" s="1028"/>
      <c r="BE51" s="1028"/>
      <c r="BF51" s="1028"/>
      <c r="BG51" s="1029"/>
    </row>
    <row r="52" spans="1:59" ht="15" thickBot="1" x14ac:dyDescent="0.25">
      <c r="A52" s="1014" t="s">
        <v>746</v>
      </c>
      <c r="B52" s="1015"/>
      <c r="C52" s="1016"/>
      <c r="D52" s="1006" t="str">
        <f>IF(ISBLANK(D50),"",VLOOKUP(D50,Zauberliste,17,FALSE))</f>
        <v/>
      </c>
      <c r="E52" s="1007"/>
      <c r="F52" s="1007"/>
      <c r="G52" s="1008"/>
      <c r="H52" s="1017" t="s">
        <v>747</v>
      </c>
      <c r="I52" s="1015"/>
      <c r="J52" s="1016"/>
      <c r="K52" s="1018" t="str">
        <f>IF(ISBLANK(D50),"",VLOOKUP(D50,Zauberliste,18,FALSE))</f>
        <v/>
      </c>
      <c r="L52" s="1019"/>
      <c r="M52" s="1020"/>
      <c r="N52" s="1017" t="s">
        <v>171</v>
      </c>
      <c r="O52" s="1015"/>
      <c r="P52" s="1015"/>
      <c r="Q52" s="1015"/>
      <c r="R52" s="1016"/>
      <c r="S52" s="1006" t="str">
        <f>IF(ISBLANK(D50),"",IF(VLOOKUP(D50,Zauberliste,12,FALSE)="Zauberspruch",VLOOKUP(D50,Zauberliste,12,FALSE),VLOOKUP(D50,Zauberliste,11,FALSE)))</f>
        <v/>
      </c>
      <c r="T52" s="1007"/>
      <c r="U52" s="1007"/>
      <c r="V52" s="1007"/>
      <c r="W52" s="1007"/>
      <c r="X52" s="1008"/>
      <c r="Y52" s="1009" t="str">
        <f t="shared" ref="Y52:Y61" si="13">IF(S52="Zaubersiegel","Auftragen",IF(S52="Zauberlied","Instrument",IF(S52="Zauberrune","Wirkzeit","Material")))</f>
        <v>Material</v>
      </c>
      <c r="Z52" s="1010"/>
      <c r="AA52" s="1010"/>
      <c r="AB52" s="1010"/>
      <c r="AC52" s="1011"/>
      <c r="AD52" s="1012" t="str">
        <f>IF(ISBLANK(D50),"",VLOOKUP(D50,Zauberliste,16,FALSE))</f>
        <v/>
      </c>
      <c r="AE52" s="1012"/>
      <c r="AF52" s="1012"/>
      <c r="AG52" s="1012"/>
      <c r="AH52" s="1012"/>
      <c r="AI52" s="1012"/>
      <c r="AJ52" s="1012"/>
      <c r="AK52" s="1012"/>
      <c r="AL52" s="1012"/>
      <c r="AM52" s="1012"/>
      <c r="AN52" s="1012"/>
      <c r="AO52" s="1012"/>
      <c r="AP52" s="1012"/>
      <c r="AQ52" s="1012"/>
      <c r="AR52" s="1012"/>
      <c r="AS52" s="1012"/>
      <c r="AT52" s="1012"/>
      <c r="AU52" s="1012"/>
      <c r="AV52" s="1012"/>
      <c r="AW52" s="1012"/>
      <c r="AX52" s="1012"/>
      <c r="AY52" s="1012"/>
      <c r="AZ52" s="1012"/>
      <c r="BA52" s="1012"/>
      <c r="BB52" s="1012"/>
      <c r="BC52" s="1012"/>
      <c r="BD52" s="1012"/>
      <c r="BE52" s="1012"/>
      <c r="BF52" s="1012"/>
      <c r="BG52" s="1013"/>
    </row>
    <row r="53" spans="1:59" x14ac:dyDescent="0.2">
      <c r="A53" s="1036" t="str">
        <f>IF(ISBLANK(D53),"",IF(SpezMagier=S55,$AA$1+2,$AA$1))</f>
        <v/>
      </c>
      <c r="B53" s="1037"/>
      <c r="C53" s="1037"/>
      <c r="D53" s="1038"/>
      <c r="E53" s="1038"/>
      <c r="F53" s="1038"/>
      <c r="G53" s="1038"/>
      <c r="H53" s="1038"/>
      <c r="I53" s="1038"/>
      <c r="J53" s="1038"/>
      <c r="K53" s="1038"/>
      <c r="L53" s="1038"/>
      <c r="M53" s="1038"/>
      <c r="N53" s="1040" t="str">
        <f>IF(ISBLANK(D53),"",VLOOKUP(D53,Zauberliste,5,FALSE))</f>
        <v/>
      </c>
      <c r="O53" s="1040"/>
      <c r="P53" s="1040"/>
      <c r="Q53" s="1040"/>
      <c r="R53" s="1040" t="str">
        <f>IF(ISBLANK(D53),"",VLOOKUP(D53,Zauberliste,8,FALSE))</f>
        <v/>
      </c>
      <c r="S53" s="1040"/>
      <c r="T53" s="1040"/>
      <c r="U53" s="1040"/>
      <c r="V53" s="1041" t="str">
        <f>IF(ISBLANK(D53),"",VLOOKUP(D53,Zauberliste,7,FALSE))</f>
        <v/>
      </c>
      <c r="W53" s="1042"/>
      <c r="X53" s="1043"/>
      <c r="Y53" s="1030"/>
      <c r="Z53" s="1031"/>
      <c r="AA53" s="1031"/>
      <c r="AB53" s="1031"/>
      <c r="AC53" s="1031"/>
      <c r="AD53" s="1031"/>
      <c r="AE53" s="1031"/>
      <c r="AF53" s="1031"/>
      <c r="AG53" s="1031"/>
      <c r="AH53" s="1031"/>
      <c r="AI53" s="1031"/>
      <c r="AJ53" s="1031"/>
      <c r="AK53" s="1031"/>
      <c r="AL53" s="1031"/>
      <c r="AM53" s="1031"/>
      <c r="AN53" s="1031"/>
      <c r="AO53" s="1031"/>
      <c r="AP53" s="1031"/>
      <c r="AQ53" s="1031"/>
      <c r="AR53" s="1031"/>
      <c r="AS53" s="1031"/>
      <c r="AT53" s="1031"/>
      <c r="AU53" s="1031"/>
      <c r="AV53" s="1031"/>
      <c r="AW53" s="1031"/>
      <c r="AX53" s="1031"/>
      <c r="AY53" s="1031"/>
      <c r="AZ53" s="1031"/>
      <c r="BA53" s="1031"/>
      <c r="BB53" s="1031"/>
      <c r="BC53" s="1031"/>
      <c r="BD53" s="1031"/>
      <c r="BE53" s="1031"/>
      <c r="BF53" s="1031"/>
      <c r="BG53" s="1032"/>
    </row>
    <row r="54" spans="1:59" x14ac:dyDescent="0.2">
      <c r="A54" s="1033" t="str">
        <f>IF(ISBLANK(D53),"",VLOOKUP(D53,Zauberliste,4,FALSE))</f>
        <v/>
      </c>
      <c r="B54" s="1034"/>
      <c r="C54" s="1034"/>
      <c r="D54" s="1039"/>
      <c r="E54" s="1039"/>
      <c r="F54" s="1039"/>
      <c r="G54" s="1039"/>
      <c r="H54" s="1039"/>
      <c r="I54" s="1039"/>
      <c r="J54" s="1039"/>
      <c r="K54" s="1039"/>
      <c r="L54" s="1039"/>
      <c r="M54" s="1039"/>
      <c r="N54" s="837" t="str">
        <f>IF(ISBLANK(D53),"",VLOOKUP(D53,Zauberliste,6,FALSE))</f>
        <v/>
      </c>
      <c r="O54" s="1035"/>
      <c r="P54" s="1035"/>
      <c r="Q54" s="839"/>
      <c r="R54" s="1034" t="str">
        <f>IF(ISBLANK(D53),"",VLOOKUP(D53,Zauberliste,9,FALSE))</f>
        <v/>
      </c>
      <c r="S54" s="1034"/>
      <c r="T54" s="1034"/>
      <c r="U54" s="1034"/>
      <c r="V54" s="1034" t="str">
        <f>IF(ISBLANK(D53),"",VLOOKUP(D53,Zauberliste,2,FALSE))</f>
        <v/>
      </c>
      <c r="W54" s="1034"/>
      <c r="X54" s="1034"/>
      <c r="Y54" s="1027"/>
      <c r="Z54" s="1028"/>
      <c r="AA54" s="1028"/>
      <c r="AB54" s="1028"/>
      <c r="AC54" s="1028"/>
      <c r="AD54" s="1028"/>
      <c r="AE54" s="1028"/>
      <c r="AF54" s="1028"/>
      <c r="AG54" s="1028"/>
      <c r="AH54" s="1028"/>
      <c r="AI54" s="1028"/>
      <c r="AJ54" s="1028"/>
      <c r="AK54" s="1028"/>
      <c r="AL54" s="1028"/>
      <c r="AM54" s="1028"/>
      <c r="AN54" s="1028"/>
      <c r="AO54" s="1028"/>
      <c r="AP54" s="1028"/>
      <c r="AQ54" s="1028"/>
      <c r="AR54" s="1028"/>
      <c r="AS54" s="1028"/>
      <c r="AT54" s="1028"/>
      <c r="AU54" s="1028"/>
      <c r="AV54" s="1028"/>
      <c r="AW54" s="1028"/>
      <c r="AX54" s="1028"/>
      <c r="AY54" s="1028"/>
      <c r="AZ54" s="1028"/>
      <c r="BA54" s="1028"/>
      <c r="BB54" s="1028"/>
      <c r="BC54" s="1028"/>
      <c r="BD54" s="1028"/>
      <c r="BE54" s="1028"/>
      <c r="BF54" s="1028"/>
      <c r="BG54" s="1029"/>
    </row>
    <row r="55" spans="1:59" ht="15" thickBot="1" x14ac:dyDescent="0.25">
      <c r="A55" s="1014" t="s">
        <v>746</v>
      </c>
      <c r="B55" s="1015"/>
      <c r="C55" s="1016"/>
      <c r="D55" s="1006" t="str">
        <f>IF(ISBLANK(D53),"",VLOOKUP(D53,Zauberliste,17,FALSE))</f>
        <v/>
      </c>
      <c r="E55" s="1007"/>
      <c r="F55" s="1007"/>
      <c r="G55" s="1008"/>
      <c r="H55" s="1017" t="s">
        <v>747</v>
      </c>
      <c r="I55" s="1015"/>
      <c r="J55" s="1016"/>
      <c r="K55" s="1018" t="str">
        <f>IF(ISBLANK(D53),"",VLOOKUP(D53,Zauberliste,18,FALSE))</f>
        <v/>
      </c>
      <c r="L55" s="1019"/>
      <c r="M55" s="1020"/>
      <c r="N55" s="1017" t="s">
        <v>171</v>
      </c>
      <c r="O55" s="1015"/>
      <c r="P55" s="1015"/>
      <c r="Q55" s="1015"/>
      <c r="R55" s="1016"/>
      <c r="S55" s="1006" t="str">
        <f>IF(ISBLANK(D53),"",IF(VLOOKUP(D53,Zauberliste,12,FALSE)="Zauberspruch",VLOOKUP(D53,Zauberliste,12,FALSE),VLOOKUP(D53,Zauberliste,11,FALSE)))</f>
        <v/>
      </c>
      <c r="T55" s="1007"/>
      <c r="U55" s="1007"/>
      <c r="V55" s="1007"/>
      <c r="W55" s="1007"/>
      <c r="X55" s="1008"/>
      <c r="Y55" s="1009" t="str">
        <f t="shared" ref="Y55:Y61" si="14">IF(S55="Zaubersiegel","Auftragen",IF(S55="Zauberlied","Instrument",IF(S55="Zauberrune","Wirkzeit","Material")))</f>
        <v>Material</v>
      </c>
      <c r="Z55" s="1010"/>
      <c r="AA55" s="1010"/>
      <c r="AB55" s="1010"/>
      <c r="AC55" s="1011"/>
      <c r="AD55" s="1012" t="str">
        <f>IF(ISBLANK(D53),"",VLOOKUP(D53,Zauberliste,16,FALSE))</f>
        <v/>
      </c>
      <c r="AE55" s="1012"/>
      <c r="AF55" s="1012"/>
      <c r="AG55" s="1012"/>
      <c r="AH55" s="1012"/>
      <c r="AI55" s="1012"/>
      <c r="AJ55" s="1012"/>
      <c r="AK55" s="1012"/>
      <c r="AL55" s="1012"/>
      <c r="AM55" s="1012"/>
      <c r="AN55" s="1012"/>
      <c r="AO55" s="1012"/>
      <c r="AP55" s="1012"/>
      <c r="AQ55" s="1012"/>
      <c r="AR55" s="1012"/>
      <c r="AS55" s="1012"/>
      <c r="AT55" s="1012"/>
      <c r="AU55" s="1012"/>
      <c r="AV55" s="1012"/>
      <c r="AW55" s="1012"/>
      <c r="AX55" s="1012"/>
      <c r="AY55" s="1012"/>
      <c r="AZ55" s="1012"/>
      <c r="BA55" s="1012"/>
      <c r="BB55" s="1012"/>
      <c r="BC55" s="1012"/>
      <c r="BD55" s="1012"/>
      <c r="BE55" s="1012"/>
      <c r="BF55" s="1012"/>
      <c r="BG55" s="1013"/>
    </row>
    <row r="56" spans="1:59" x14ac:dyDescent="0.2">
      <c r="A56" s="1036" t="str">
        <f>IF(ISBLANK(D56),"",IF(SpezMagier=S58,$AA$1+2,$AA$1))</f>
        <v/>
      </c>
      <c r="B56" s="1037"/>
      <c r="C56" s="1037"/>
      <c r="D56" s="1038"/>
      <c r="E56" s="1038"/>
      <c r="F56" s="1038"/>
      <c r="G56" s="1038"/>
      <c r="H56" s="1038"/>
      <c r="I56" s="1038"/>
      <c r="J56" s="1038"/>
      <c r="K56" s="1038"/>
      <c r="L56" s="1038"/>
      <c r="M56" s="1038"/>
      <c r="N56" s="1040" t="str">
        <f>IF(ISBLANK(D56),"",VLOOKUP(D56,Zauberliste,5,FALSE))</f>
        <v/>
      </c>
      <c r="O56" s="1040"/>
      <c r="P56" s="1040"/>
      <c r="Q56" s="1040"/>
      <c r="R56" s="1040" t="str">
        <f>IF(ISBLANK(D56),"",VLOOKUP(D56,Zauberliste,8,FALSE))</f>
        <v/>
      </c>
      <c r="S56" s="1040"/>
      <c r="T56" s="1040"/>
      <c r="U56" s="1040"/>
      <c r="V56" s="1041" t="str">
        <f>IF(ISBLANK(D56),"",VLOOKUP(D56,Zauberliste,7,FALSE))</f>
        <v/>
      </c>
      <c r="W56" s="1042"/>
      <c r="X56" s="1043"/>
      <c r="Y56" s="1030"/>
      <c r="Z56" s="1031"/>
      <c r="AA56" s="1031"/>
      <c r="AB56" s="1031"/>
      <c r="AC56" s="1031"/>
      <c r="AD56" s="1031"/>
      <c r="AE56" s="1031"/>
      <c r="AF56" s="1031"/>
      <c r="AG56" s="1031"/>
      <c r="AH56" s="1031"/>
      <c r="AI56" s="1031"/>
      <c r="AJ56" s="1031"/>
      <c r="AK56" s="1031"/>
      <c r="AL56" s="1031"/>
      <c r="AM56" s="1031"/>
      <c r="AN56" s="1031"/>
      <c r="AO56" s="1031"/>
      <c r="AP56" s="1031"/>
      <c r="AQ56" s="1031"/>
      <c r="AR56" s="1031"/>
      <c r="AS56" s="1031"/>
      <c r="AT56" s="1031"/>
      <c r="AU56" s="1031"/>
      <c r="AV56" s="1031"/>
      <c r="AW56" s="1031"/>
      <c r="AX56" s="1031"/>
      <c r="AY56" s="1031"/>
      <c r="AZ56" s="1031"/>
      <c r="BA56" s="1031"/>
      <c r="BB56" s="1031"/>
      <c r="BC56" s="1031"/>
      <c r="BD56" s="1031"/>
      <c r="BE56" s="1031"/>
      <c r="BF56" s="1031"/>
      <c r="BG56" s="1032"/>
    </row>
    <row r="57" spans="1:59" x14ac:dyDescent="0.2">
      <c r="A57" s="1033" t="str">
        <f>IF(ISBLANK(D56),"",VLOOKUP(D56,Zauberliste,4,FALSE))</f>
        <v/>
      </c>
      <c r="B57" s="1034"/>
      <c r="C57" s="1034"/>
      <c r="D57" s="1039"/>
      <c r="E57" s="1039"/>
      <c r="F57" s="1039"/>
      <c r="G57" s="1039"/>
      <c r="H57" s="1039"/>
      <c r="I57" s="1039"/>
      <c r="J57" s="1039"/>
      <c r="K57" s="1039"/>
      <c r="L57" s="1039"/>
      <c r="M57" s="1039"/>
      <c r="N57" s="837" t="str">
        <f>IF(ISBLANK(D56),"",VLOOKUP(D56,Zauberliste,6,FALSE))</f>
        <v/>
      </c>
      <c r="O57" s="1035"/>
      <c r="P57" s="1035"/>
      <c r="Q57" s="839"/>
      <c r="R57" s="1034" t="str">
        <f>IF(ISBLANK(D56),"",VLOOKUP(D56,Zauberliste,9,FALSE))</f>
        <v/>
      </c>
      <c r="S57" s="1034"/>
      <c r="T57" s="1034"/>
      <c r="U57" s="1034"/>
      <c r="V57" s="1034" t="str">
        <f>IF(ISBLANK(D56),"",VLOOKUP(D56,Zauberliste,2,FALSE))</f>
        <v/>
      </c>
      <c r="W57" s="1034"/>
      <c r="X57" s="1034"/>
      <c r="Y57" s="1027"/>
      <c r="Z57" s="1028"/>
      <c r="AA57" s="1028"/>
      <c r="AB57" s="1028"/>
      <c r="AC57" s="1028"/>
      <c r="AD57" s="1028"/>
      <c r="AE57" s="1028"/>
      <c r="AF57" s="1028"/>
      <c r="AG57" s="1028"/>
      <c r="AH57" s="1028"/>
      <c r="AI57" s="1028"/>
      <c r="AJ57" s="1028"/>
      <c r="AK57" s="1028"/>
      <c r="AL57" s="1028"/>
      <c r="AM57" s="1028"/>
      <c r="AN57" s="1028"/>
      <c r="AO57" s="1028"/>
      <c r="AP57" s="1028"/>
      <c r="AQ57" s="1028"/>
      <c r="AR57" s="1028"/>
      <c r="AS57" s="1028"/>
      <c r="AT57" s="1028"/>
      <c r="AU57" s="1028"/>
      <c r="AV57" s="1028"/>
      <c r="AW57" s="1028"/>
      <c r="AX57" s="1028"/>
      <c r="AY57" s="1028"/>
      <c r="AZ57" s="1028"/>
      <c r="BA57" s="1028"/>
      <c r="BB57" s="1028"/>
      <c r="BC57" s="1028"/>
      <c r="BD57" s="1028"/>
      <c r="BE57" s="1028"/>
      <c r="BF57" s="1028"/>
      <c r="BG57" s="1029"/>
    </row>
    <row r="58" spans="1:59" ht="15" thickBot="1" x14ac:dyDescent="0.25">
      <c r="A58" s="1014" t="s">
        <v>746</v>
      </c>
      <c r="B58" s="1015"/>
      <c r="C58" s="1016"/>
      <c r="D58" s="1006" t="str">
        <f>IF(ISBLANK(D56),"",VLOOKUP(D56,Zauberliste,17,FALSE))</f>
        <v/>
      </c>
      <c r="E58" s="1007"/>
      <c r="F58" s="1007"/>
      <c r="G58" s="1008"/>
      <c r="H58" s="1017" t="s">
        <v>747</v>
      </c>
      <c r="I58" s="1015"/>
      <c r="J58" s="1016"/>
      <c r="K58" s="1018" t="str">
        <f>IF(ISBLANK(D56),"",VLOOKUP(D56,Zauberliste,18,FALSE))</f>
        <v/>
      </c>
      <c r="L58" s="1019"/>
      <c r="M58" s="1020"/>
      <c r="N58" s="1017" t="s">
        <v>171</v>
      </c>
      <c r="O58" s="1015"/>
      <c r="P58" s="1015"/>
      <c r="Q58" s="1015"/>
      <c r="R58" s="1016"/>
      <c r="S58" s="1006" t="str">
        <f>IF(ISBLANK(D56),"",IF(VLOOKUP(D56,Zauberliste,12,FALSE)="Zauberspruch",VLOOKUP(D56,Zauberliste,12,FALSE),VLOOKUP(D56,Zauberliste,11,FALSE)))</f>
        <v/>
      </c>
      <c r="T58" s="1007"/>
      <c r="U58" s="1007"/>
      <c r="V58" s="1007"/>
      <c r="W58" s="1007"/>
      <c r="X58" s="1008"/>
      <c r="Y58" s="1009" t="str">
        <f t="shared" ref="Y58:Y61" si="15">IF(S58="Zaubersiegel","Auftragen",IF(S58="Zauberlied","Instrument",IF(S58="Zauberrune","Wirkzeit","Material")))</f>
        <v>Material</v>
      </c>
      <c r="Z58" s="1010"/>
      <c r="AA58" s="1010"/>
      <c r="AB58" s="1010"/>
      <c r="AC58" s="1011"/>
      <c r="AD58" s="1012" t="str">
        <f>IF(ISBLANK(D56),"",VLOOKUP(D56,Zauberliste,16,FALSE))</f>
        <v/>
      </c>
      <c r="AE58" s="1012"/>
      <c r="AF58" s="1012"/>
      <c r="AG58" s="1012"/>
      <c r="AH58" s="1012"/>
      <c r="AI58" s="1012"/>
      <c r="AJ58" s="1012"/>
      <c r="AK58" s="1012"/>
      <c r="AL58" s="1012"/>
      <c r="AM58" s="1012"/>
      <c r="AN58" s="1012"/>
      <c r="AO58" s="1012"/>
      <c r="AP58" s="1012"/>
      <c r="AQ58" s="1012"/>
      <c r="AR58" s="1012"/>
      <c r="AS58" s="1012"/>
      <c r="AT58" s="1012"/>
      <c r="AU58" s="1012"/>
      <c r="AV58" s="1012"/>
      <c r="AW58" s="1012"/>
      <c r="AX58" s="1012"/>
      <c r="AY58" s="1012"/>
      <c r="AZ58" s="1012"/>
      <c r="BA58" s="1012"/>
      <c r="BB58" s="1012"/>
      <c r="BC58" s="1012"/>
      <c r="BD58" s="1012"/>
      <c r="BE58" s="1012"/>
      <c r="BF58" s="1012"/>
      <c r="BG58" s="1013"/>
    </row>
    <row r="59" spans="1:59" x14ac:dyDescent="0.2">
      <c r="A59" s="1036" t="str">
        <f>IF(ISBLANK(D59),"",IF(SpezMagier=S61,$AA$1+2,$AA$1))</f>
        <v/>
      </c>
      <c r="B59" s="1037"/>
      <c r="C59" s="1037"/>
      <c r="D59" s="1038"/>
      <c r="E59" s="1038"/>
      <c r="F59" s="1038"/>
      <c r="G59" s="1038"/>
      <c r="H59" s="1038"/>
      <c r="I59" s="1038"/>
      <c r="J59" s="1038"/>
      <c r="K59" s="1038"/>
      <c r="L59" s="1038"/>
      <c r="M59" s="1038"/>
      <c r="N59" s="1040" t="str">
        <f>IF(ISBLANK(D59),"",VLOOKUP(D59,Zauberliste,5,FALSE))</f>
        <v/>
      </c>
      <c r="O59" s="1040"/>
      <c r="P59" s="1040"/>
      <c r="Q59" s="1040"/>
      <c r="R59" s="1040" t="str">
        <f>IF(ISBLANK(D59),"",VLOOKUP(D59,Zauberliste,8,FALSE))</f>
        <v/>
      </c>
      <c r="S59" s="1040"/>
      <c r="T59" s="1040"/>
      <c r="U59" s="1040"/>
      <c r="V59" s="1041" t="str">
        <f>IF(ISBLANK(D59),"",VLOOKUP(D59,Zauberliste,7,FALSE))</f>
        <v/>
      </c>
      <c r="W59" s="1042"/>
      <c r="X59" s="1043"/>
      <c r="Y59" s="1030"/>
      <c r="Z59" s="1031"/>
      <c r="AA59" s="1031"/>
      <c r="AB59" s="1031"/>
      <c r="AC59" s="1031"/>
      <c r="AD59" s="1031"/>
      <c r="AE59" s="1031"/>
      <c r="AF59" s="1031"/>
      <c r="AG59" s="1031"/>
      <c r="AH59" s="1031"/>
      <c r="AI59" s="1031"/>
      <c r="AJ59" s="1031"/>
      <c r="AK59" s="1031"/>
      <c r="AL59" s="1031"/>
      <c r="AM59" s="1031"/>
      <c r="AN59" s="1031"/>
      <c r="AO59" s="1031"/>
      <c r="AP59" s="1031"/>
      <c r="AQ59" s="1031"/>
      <c r="AR59" s="1031"/>
      <c r="AS59" s="1031"/>
      <c r="AT59" s="1031"/>
      <c r="AU59" s="1031"/>
      <c r="AV59" s="1031"/>
      <c r="AW59" s="1031"/>
      <c r="AX59" s="1031"/>
      <c r="AY59" s="1031"/>
      <c r="AZ59" s="1031"/>
      <c r="BA59" s="1031"/>
      <c r="BB59" s="1031"/>
      <c r="BC59" s="1031"/>
      <c r="BD59" s="1031"/>
      <c r="BE59" s="1031"/>
      <c r="BF59" s="1031"/>
      <c r="BG59" s="1032"/>
    </row>
    <row r="60" spans="1:59" x14ac:dyDescent="0.2">
      <c r="A60" s="1033" t="str">
        <f>IF(ISBLANK(D59),"",VLOOKUP(D59,Zauberliste,4,FALSE))</f>
        <v/>
      </c>
      <c r="B60" s="1034"/>
      <c r="C60" s="1034"/>
      <c r="D60" s="1039"/>
      <c r="E60" s="1039"/>
      <c r="F60" s="1039"/>
      <c r="G60" s="1039"/>
      <c r="H60" s="1039"/>
      <c r="I60" s="1039"/>
      <c r="J60" s="1039"/>
      <c r="K60" s="1039"/>
      <c r="L60" s="1039"/>
      <c r="M60" s="1039"/>
      <c r="N60" s="837" t="str">
        <f>IF(ISBLANK(D59),"",VLOOKUP(D59,Zauberliste,6,FALSE))</f>
        <v/>
      </c>
      <c r="O60" s="1035"/>
      <c r="P60" s="1035"/>
      <c r="Q60" s="839"/>
      <c r="R60" s="1034" t="str">
        <f>IF(ISBLANK(D59),"",VLOOKUP(D59,Zauberliste,9,FALSE))</f>
        <v/>
      </c>
      <c r="S60" s="1034"/>
      <c r="T60" s="1034"/>
      <c r="U60" s="1034"/>
      <c r="V60" s="1034" t="str">
        <f>IF(ISBLANK(D59),"",VLOOKUP(D59,Zauberliste,2,FALSE))</f>
        <v/>
      </c>
      <c r="W60" s="1034"/>
      <c r="X60" s="1034"/>
      <c r="Y60" s="1027"/>
      <c r="Z60" s="1028"/>
      <c r="AA60" s="1028"/>
      <c r="AB60" s="1028"/>
      <c r="AC60" s="1028"/>
      <c r="AD60" s="1028"/>
      <c r="AE60" s="1028"/>
      <c r="AF60" s="1028"/>
      <c r="AG60" s="1028"/>
      <c r="AH60" s="1028"/>
      <c r="AI60" s="1028"/>
      <c r="AJ60" s="1028"/>
      <c r="AK60" s="1028"/>
      <c r="AL60" s="1028"/>
      <c r="AM60" s="1028"/>
      <c r="AN60" s="1028"/>
      <c r="AO60" s="1028"/>
      <c r="AP60" s="1028"/>
      <c r="AQ60" s="1028"/>
      <c r="AR60" s="1028"/>
      <c r="AS60" s="1028"/>
      <c r="AT60" s="1028"/>
      <c r="AU60" s="1028"/>
      <c r="AV60" s="1028"/>
      <c r="AW60" s="1028"/>
      <c r="AX60" s="1028"/>
      <c r="AY60" s="1028"/>
      <c r="AZ60" s="1028"/>
      <c r="BA60" s="1028"/>
      <c r="BB60" s="1028"/>
      <c r="BC60" s="1028"/>
      <c r="BD60" s="1028"/>
      <c r="BE60" s="1028"/>
      <c r="BF60" s="1028"/>
      <c r="BG60" s="1029"/>
    </row>
    <row r="61" spans="1:59" ht="15" thickBot="1" x14ac:dyDescent="0.25">
      <c r="A61" s="1014" t="s">
        <v>746</v>
      </c>
      <c r="B61" s="1015"/>
      <c r="C61" s="1016"/>
      <c r="D61" s="1006" t="str">
        <f>IF(ISBLANK(D59),"",VLOOKUP(D59,Zauberliste,17,FALSE))</f>
        <v/>
      </c>
      <c r="E61" s="1007"/>
      <c r="F61" s="1007"/>
      <c r="G61" s="1008"/>
      <c r="H61" s="1017" t="s">
        <v>747</v>
      </c>
      <c r="I61" s="1015"/>
      <c r="J61" s="1016"/>
      <c r="K61" s="1018" t="str">
        <f>IF(ISBLANK(D59),"",VLOOKUP(D59,Zauberliste,18,FALSE))</f>
        <v/>
      </c>
      <c r="L61" s="1019"/>
      <c r="M61" s="1020"/>
      <c r="N61" s="1017" t="s">
        <v>171</v>
      </c>
      <c r="O61" s="1015"/>
      <c r="P61" s="1015"/>
      <c r="Q61" s="1015"/>
      <c r="R61" s="1016"/>
      <c r="S61" s="1006" t="str">
        <f>IF(ISBLANK(D59),"",IF(VLOOKUP(D59,Zauberliste,12,FALSE)="Zauberspruch",VLOOKUP(D59,Zauberliste,12,FALSE),VLOOKUP(D59,Zauberliste,11,FALSE)))</f>
        <v/>
      </c>
      <c r="T61" s="1007"/>
      <c r="U61" s="1007"/>
      <c r="V61" s="1007"/>
      <c r="W61" s="1007"/>
      <c r="X61" s="1008"/>
      <c r="Y61" s="1009" t="str">
        <f t="shared" ref="Y61" si="16">IF(S61="Zaubersiegel","Auftragen",IF(S61="Zauberlied","Instrument",IF(S61="Zauberrune","Wirkzeit","Material")))</f>
        <v>Material</v>
      </c>
      <c r="Z61" s="1010"/>
      <c r="AA61" s="1010"/>
      <c r="AB61" s="1010"/>
      <c r="AC61" s="1011"/>
      <c r="AD61" s="1012" t="str">
        <f>IF(ISBLANK(D59),"",VLOOKUP(D59,Zauberliste,16,FALSE))</f>
        <v/>
      </c>
      <c r="AE61" s="1012"/>
      <c r="AF61" s="1012"/>
      <c r="AG61" s="1012"/>
      <c r="AH61" s="1012"/>
      <c r="AI61" s="1012"/>
      <c r="AJ61" s="1012"/>
      <c r="AK61" s="1012"/>
      <c r="AL61" s="1012"/>
      <c r="AM61" s="1012"/>
      <c r="AN61" s="1012"/>
      <c r="AO61" s="1012"/>
      <c r="AP61" s="1012"/>
      <c r="AQ61" s="1012"/>
      <c r="AR61" s="1012"/>
      <c r="AS61" s="1012"/>
      <c r="AT61" s="1012"/>
      <c r="AU61" s="1012"/>
      <c r="AV61" s="1012"/>
      <c r="AW61" s="1012"/>
      <c r="AX61" s="1012"/>
      <c r="AY61" s="1012"/>
      <c r="AZ61" s="1012"/>
      <c r="BA61" s="1012"/>
      <c r="BB61" s="1012"/>
      <c r="BC61" s="1012"/>
      <c r="BD61" s="1012"/>
      <c r="BE61" s="1012"/>
      <c r="BF61" s="1012"/>
      <c r="BG61" s="1013"/>
    </row>
  </sheetData>
  <sheetProtection password="E882" sheet="1" objects="1" scenarios="1" selectLockedCells="1"/>
  <mergeCells count="360">
    <mergeCell ref="A11:C11"/>
    <mergeCell ref="D11:M12"/>
    <mergeCell ref="N11:Q11"/>
    <mergeCell ref="R11:U11"/>
    <mergeCell ref="V11:X11"/>
    <mergeCell ref="Y11:BG12"/>
    <mergeCell ref="A12:C12"/>
    <mergeCell ref="N12:Q12"/>
    <mergeCell ref="R12:U12"/>
    <mergeCell ref="V12:X12"/>
    <mergeCell ref="S61:X61"/>
    <mergeCell ref="Y61:AC61"/>
    <mergeCell ref="AD61:BG61"/>
    <mergeCell ref="A61:C61"/>
    <mergeCell ref="D61:G61"/>
    <mergeCell ref="H61:J61"/>
    <mergeCell ref="K61:M61"/>
    <mergeCell ref="N61:R61"/>
    <mergeCell ref="S58:X58"/>
    <mergeCell ref="Y58:AC58"/>
    <mergeCell ref="AD58:BG58"/>
    <mergeCell ref="A59:C59"/>
    <mergeCell ref="D59:M60"/>
    <mergeCell ref="N59:Q59"/>
    <mergeCell ref="R59:U59"/>
    <mergeCell ref="V59:X59"/>
    <mergeCell ref="Y59:BG60"/>
    <mergeCell ref="A60:C60"/>
    <mergeCell ref="N60:Q60"/>
    <mergeCell ref="R60:U60"/>
    <mergeCell ref="V60:X60"/>
    <mergeCell ref="A58:C58"/>
    <mergeCell ref="D58:G58"/>
    <mergeCell ref="H58:J58"/>
    <mergeCell ref="K58:M58"/>
    <mergeCell ref="N58:R58"/>
    <mergeCell ref="S55:X55"/>
    <mergeCell ref="Y55:AC55"/>
    <mergeCell ref="AD55:BG55"/>
    <mergeCell ref="A56:C56"/>
    <mergeCell ref="D56:M57"/>
    <mergeCell ref="N56:Q56"/>
    <mergeCell ref="R56:U56"/>
    <mergeCell ref="V56:X56"/>
    <mergeCell ref="Y56:BG57"/>
    <mergeCell ref="A57:C57"/>
    <mergeCell ref="N57:Q57"/>
    <mergeCell ref="R57:U57"/>
    <mergeCell ref="V57:X57"/>
    <mergeCell ref="A55:C55"/>
    <mergeCell ref="D55:G55"/>
    <mergeCell ref="H55:J55"/>
    <mergeCell ref="K55:M55"/>
    <mergeCell ref="N55:R55"/>
    <mergeCell ref="S52:X52"/>
    <mergeCell ref="Y52:AC52"/>
    <mergeCell ref="AD52:BG52"/>
    <mergeCell ref="A53:C53"/>
    <mergeCell ref="D53:M54"/>
    <mergeCell ref="N53:Q53"/>
    <mergeCell ref="R53:U53"/>
    <mergeCell ref="V53:X53"/>
    <mergeCell ref="Y53:BG54"/>
    <mergeCell ref="A54:C54"/>
    <mergeCell ref="N54:Q54"/>
    <mergeCell ref="R54:U54"/>
    <mergeCell ref="V54:X54"/>
    <mergeCell ref="A52:C52"/>
    <mergeCell ref="D52:G52"/>
    <mergeCell ref="H52:J52"/>
    <mergeCell ref="K52:M52"/>
    <mergeCell ref="N52:R52"/>
    <mergeCell ref="S49:X49"/>
    <mergeCell ref="Y49:AC49"/>
    <mergeCell ref="AD49:BG49"/>
    <mergeCell ref="A50:C50"/>
    <mergeCell ref="D50:M51"/>
    <mergeCell ref="N50:Q50"/>
    <mergeCell ref="R50:U50"/>
    <mergeCell ref="V50:X50"/>
    <mergeCell ref="Y50:BG51"/>
    <mergeCell ref="A51:C51"/>
    <mergeCell ref="N51:Q51"/>
    <mergeCell ref="R51:U51"/>
    <mergeCell ref="V51:X51"/>
    <mergeCell ref="A49:C49"/>
    <mergeCell ref="D49:G49"/>
    <mergeCell ref="H49:J49"/>
    <mergeCell ref="K49:M49"/>
    <mergeCell ref="N49:R49"/>
    <mergeCell ref="S46:X46"/>
    <mergeCell ref="Y46:AC46"/>
    <mergeCell ref="AD46:BG46"/>
    <mergeCell ref="A47:C47"/>
    <mergeCell ref="D47:M48"/>
    <mergeCell ref="N47:Q47"/>
    <mergeCell ref="R47:U47"/>
    <mergeCell ref="V47:X47"/>
    <mergeCell ref="Y47:BG48"/>
    <mergeCell ref="A48:C48"/>
    <mergeCell ref="N48:Q48"/>
    <mergeCell ref="R48:U48"/>
    <mergeCell ref="V48:X48"/>
    <mergeCell ref="A46:C46"/>
    <mergeCell ref="D46:G46"/>
    <mergeCell ref="H46:J46"/>
    <mergeCell ref="K46:M46"/>
    <mergeCell ref="N46:R46"/>
    <mergeCell ref="S43:X43"/>
    <mergeCell ref="Y43:AC43"/>
    <mergeCell ref="AD43:BG43"/>
    <mergeCell ref="A44:C44"/>
    <mergeCell ref="D44:M45"/>
    <mergeCell ref="N44:Q44"/>
    <mergeCell ref="R44:U44"/>
    <mergeCell ref="V44:X44"/>
    <mergeCell ref="Y44:BG45"/>
    <mergeCell ref="A45:C45"/>
    <mergeCell ref="N45:Q45"/>
    <mergeCell ref="R45:U45"/>
    <mergeCell ref="V45:X45"/>
    <mergeCell ref="A43:C43"/>
    <mergeCell ref="D43:G43"/>
    <mergeCell ref="H43:J43"/>
    <mergeCell ref="K43:M43"/>
    <mergeCell ref="N43:R43"/>
    <mergeCell ref="S40:X40"/>
    <mergeCell ref="Y40:AC40"/>
    <mergeCell ref="AD40:BG40"/>
    <mergeCell ref="A41:C41"/>
    <mergeCell ref="D41:M42"/>
    <mergeCell ref="N41:Q41"/>
    <mergeCell ref="R41:U41"/>
    <mergeCell ref="V41:X41"/>
    <mergeCell ref="Y41:BG42"/>
    <mergeCell ref="A42:C42"/>
    <mergeCell ref="N42:Q42"/>
    <mergeCell ref="R42:U42"/>
    <mergeCell ref="V42:X42"/>
    <mergeCell ref="A40:C40"/>
    <mergeCell ref="D40:G40"/>
    <mergeCell ref="H40:J40"/>
    <mergeCell ref="K40:M40"/>
    <mergeCell ref="N40:R40"/>
    <mergeCell ref="S37:X37"/>
    <mergeCell ref="Y37:AC37"/>
    <mergeCell ref="AD37:BG37"/>
    <mergeCell ref="A38:C38"/>
    <mergeCell ref="D38:M39"/>
    <mergeCell ref="N38:Q38"/>
    <mergeCell ref="R38:U38"/>
    <mergeCell ref="V38:X38"/>
    <mergeCell ref="Y38:BG39"/>
    <mergeCell ref="A39:C39"/>
    <mergeCell ref="N39:Q39"/>
    <mergeCell ref="R39:U39"/>
    <mergeCell ref="V39:X39"/>
    <mergeCell ref="A37:C37"/>
    <mergeCell ref="D37:G37"/>
    <mergeCell ref="H37:J37"/>
    <mergeCell ref="K37:M37"/>
    <mergeCell ref="N37:R37"/>
    <mergeCell ref="S34:X34"/>
    <mergeCell ref="Y34:AC34"/>
    <mergeCell ref="AD34:BG34"/>
    <mergeCell ref="A35:C35"/>
    <mergeCell ref="D35:M36"/>
    <mergeCell ref="N35:Q35"/>
    <mergeCell ref="R35:U35"/>
    <mergeCell ref="V35:X35"/>
    <mergeCell ref="Y35:BG36"/>
    <mergeCell ref="A36:C36"/>
    <mergeCell ref="N36:Q36"/>
    <mergeCell ref="R36:U36"/>
    <mergeCell ref="V36:X36"/>
    <mergeCell ref="A34:C34"/>
    <mergeCell ref="D34:G34"/>
    <mergeCell ref="H34:J34"/>
    <mergeCell ref="K34:M34"/>
    <mergeCell ref="N34:R34"/>
    <mergeCell ref="S31:X31"/>
    <mergeCell ref="Y31:AC31"/>
    <mergeCell ref="AD31:BG31"/>
    <mergeCell ref="A32:C32"/>
    <mergeCell ref="D32:M33"/>
    <mergeCell ref="N32:Q32"/>
    <mergeCell ref="R32:U32"/>
    <mergeCell ref="V32:X32"/>
    <mergeCell ref="Y32:BG33"/>
    <mergeCell ref="A33:C33"/>
    <mergeCell ref="N33:Q33"/>
    <mergeCell ref="R33:U33"/>
    <mergeCell ref="V33:X33"/>
    <mergeCell ref="A31:C31"/>
    <mergeCell ref="D31:G31"/>
    <mergeCell ref="H31:J31"/>
    <mergeCell ref="K31:M31"/>
    <mergeCell ref="N31:R31"/>
    <mergeCell ref="S28:X28"/>
    <mergeCell ref="Y28:AC28"/>
    <mergeCell ref="AD28:BG28"/>
    <mergeCell ref="A29:C29"/>
    <mergeCell ref="D29:M30"/>
    <mergeCell ref="N29:Q29"/>
    <mergeCell ref="R29:U29"/>
    <mergeCell ref="V29:X29"/>
    <mergeCell ref="Y29:BG30"/>
    <mergeCell ref="A30:C30"/>
    <mergeCell ref="N30:Q30"/>
    <mergeCell ref="R30:U30"/>
    <mergeCell ref="V30:X30"/>
    <mergeCell ref="A28:C28"/>
    <mergeCell ref="D28:G28"/>
    <mergeCell ref="H28:J28"/>
    <mergeCell ref="K28:M28"/>
    <mergeCell ref="N28:R28"/>
    <mergeCell ref="S25:X25"/>
    <mergeCell ref="Y25:AC25"/>
    <mergeCell ref="AD25:BG25"/>
    <mergeCell ref="A26:C26"/>
    <mergeCell ref="D26:M27"/>
    <mergeCell ref="N26:Q26"/>
    <mergeCell ref="R26:U26"/>
    <mergeCell ref="V26:X26"/>
    <mergeCell ref="Y26:BG27"/>
    <mergeCell ref="A27:C27"/>
    <mergeCell ref="N27:Q27"/>
    <mergeCell ref="R27:U27"/>
    <mergeCell ref="V27:X27"/>
    <mergeCell ref="A25:C25"/>
    <mergeCell ref="D25:G25"/>
    <mergeCell ref="H25:J25"/>
    <mergeCell ref="K25:M25"/>
    <mergeCell ref="N25:R25"/>
    <mergeCell ref="S22:X22"/>
    <mergeCell ref="Y22:AC22"/>
    <mergeCell ref="AD22:BG22"/>
    <mergeCell ref="A23:C23"/>
    <mergeCell ref="D23:M24"/>
    <mergeCell ref="N23:Q23"/>
    <mergeCell ref="R23:U23"/>
    <mergeCell ref="V23:X23"/>
    <mergeCell ref="Y23:BG24"/>
    <mergeCell ref="A24:C24"/>
    <mergeCell ref="N24:Q24"/>
    <mergeCell ref="R24:U24"/>
    <mergeCell ref="V24:X24"/>
    <mergeCell ref="A22:C22"/>
    <mergeCell ref="D22:G22"/>
    <mergeCell ref="H22:J22"/>
    <mergeCell ref="K22:M22"/>
    <mergeCell ref="N22:R22"/>
    <mergeCell ref="S19:X19"/>
    <mergeCell ref="Y19:AC19"/>
    <mergeCell ref="AD19:BG19"/>
    <mergeCell ref="A20:C20"/>
    <mergeCell ref="D20:M21"/>
    <mergeCell ref="N20:Q20"/>
    <mergeCell ref="R20:U20"/>
    <mergeCell ref="V20:X20"/>
    <mergeCell ref="Y20:BG21"/>
    <mergeCell ref="A21:C21"/>
    <mergeCell ref="N21:Q21"/>
    <mergeCell ref="R21:U21"/>
    <mergeCell ref="V21:X21"/>
    <mergeCell ref="A19:C19"/>
    <mergeCell ref="D19:G19"/>
    <mergeCell ref="H19:J19"/>
    <mergeCell ref="K19:M19"/>
    <mergeCell ref="N19:R19"/>
    <mergeCell ref="S16:X16"/>
    <mergeCell ref="Y16:AC16"/>
    <mergeCell ref="AD16:BG16"/>
    <mergeCell ref="A17:C17"/>
    <mergeCell ref="D17:M18"/>
    <mergeCell ref="N17:Q17"/>
    <mergeCell ref="R17:U17"/>
    <mergeCell ref="V17:X17"/>
    <mergeCell ref="Y17:BG18"/>
    <mergeCell ref="A18:C18"/>
    <mergeCell ref="N18:Q18"/>
    <mergeCell ref="R18:U18"/>
    <mergeCell ref="V18:X18"/>
    <mergeCell ref="A16:C16"/>
    <mergeCell ref="D16:G16"/>
    <mergeCell ref="H16:J16"/>
    <mergeCell ref="K16:M16"/>
    <mergeCell ref="N16:R16"/>
    <mergeCell ref="S13:X13"/>
    <mergeCell ref="Y13:AC13"/>
    <mergeCell ref="AD13:BG13"/>
    <mergeCell ref="A14:C14"/>
    <mergeCell ref="D14:M15"/>
    <mergeCell ref="N14:Q14"/>
    <mergeCell ref="R14:U14"/>
    <mergeCell ref="V14:X14"/>
    <mergeCell ref="Y14:BG15"/>
    <mergeCell ref="A15:C15"/>
    <mergeCell ref="N15:Q15"/>
    <mergeCell ref="R15:U15"/>
    <mergeCell ref="V15:X15"/>
    <mergeCell ref="A13:C13"/>
    <mergeCell ref="D13:G13"/>
    <mergeCell ref="H13:J13"/>
    <mergeCell ref="K13:M13"/>
    <mergeCell ref="N13:R13"/>
    <mergeCell ref="S10:X10"/>
    <mergeCell ref="Y10:AC10"/>
    <mergeCell ref="AD10:BG10"/>
    <mergeCell ref="A10:C10"/>
    <mergeCell ref="D10:G10"/>
    <mergeCell ref="H10:J10"/>
    <mergeCell ref="K10:M10"/>
    <mergeCell ref="N10:R10"/>
    <mergeCell ref="V5:X5"/>
    <mergeCell ref="Y5:BG6"/>
    <mergeCell ref="Y8:BG9"/>
    <mergeCell ref="A9:C9"/>
    <mergeCell ref="N9:Q9"/>
    <mergeCell ref="R9:U9"/>
    <mergeCell ref="V9:X9"/>
    <mergeCell ref="A8:C8"/>
    <mergeCell ref="D8:M9"/>
    <mergeCell ref="N8:Q8"/>
    <mergeCell ref="R8:U8"/>
    <mergeCell ref="V8:X8"/>
    <mergeCell ref="AD7:BG7"/>
    <mergeCell ref="Y7:AC7"/>
    <mergeCell ref="V6:X6"/>
    <mergeCell ref="A7:C7"/>
    <mergeCell ref="A4:C4"/>
    <mergeCell ref="N4:Q4"/>
    <mergeCell ref="R3:U3"/>
    <mergeCell ref="Y3:BG4"/>
    <mergeCell ref="R4:U4"/>
    <mergeCell ref="AA1:AC1"/>
    <mergeCell ref="A1:D1"/>
    <mergeCell ref="A3:C3"/>
    <mergeCell ref="D3:M4"/>
    <mergeCell ref="N3:Q3"/>
    <mergeCell ref="AY1:BG1"/>
    <mergeCell ref="E1:S1"/>
    <mergeCell ref="U1:Z1"/>
    <mergeCell ref="AE1:AJ1"/>
    <mergeCell ref="V3:X3"/>
    <mergeCell ref="V4:X4"/>
    <mergeCell ref="AT1:AX1"/>
    <mergeCell ref="AK1:AR1"/>
    <mergeCell ref="H7:J7"/>
    <mergeCell ref="N7:R7"/>
    <mergeCell ref="R6:U6"/>
    <mergeCell ref="S7:X7"/>
    <mergeCell ref="K7:M7"/>
    <mergeCell ref="D7:G7"/>
    <mergeCell ref="A5:C5"/>
    <mergeCell ref="D5:M6"/>
    <mergeCell ref="N5:Q5"/>
    <mergeCell ref="A6:C6"/>
    <mergeCell ref="N6:Q6"/>
    <mergeCell ref="R5:U5"/>
  </mergeCells>
  <dataValidations xWindow="517" yWindow="284" count="1">
    <dataValidation type="list" allowBlank="1" showInputMessage="1" showErrorMessage="1" errorTitle="Fehler" error="Bitte Zauber aus der Dropdownliste auswählen!" promptTitle="Dropdown-Liste" prompt="Bitte Zauber aus der Liste auswählen oder eingeben!" sqref="D5:M6 D8:M9 D11:M12 D14:M15 D17:M18 D20:M21 D23:M24 D26:M27 D29:M30 D32:M33 D35:M36 D38:M39 D41:M42 D44:M45 D47:M48 D50:M51 D53:M54 D56:M57 D59:M60">
      <formula1>Zauber</formula1>
    </dataValidation>
  </dataValidations>
  <printOptions horizontalCentered="1"/>
  <pageMargins left="0.19685039370078741" right="0.19685039370078741" top="0.19685039370078741" bottom="0.19685039370078741" header="0.51181102362204722" footer="0.51181102362204722"/>
  <pageSetup paperSize="9" firstPageNumber="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tabColor theme="9" tint="0.39997558519241921"/>
    <pageSetUpPr fitToPage="1"/>
  </sheetPr>
  <dimension ref="A1:BF129"/>
  <sheetViews>
    <sheetView showGridLines="0" zoomScale="125" zoomScaleNormal="125" workbookViewId="0">
      <selection activeCell="A55" sqref="A55:BF64"/>
    </sheetView>
  </sheetViews>
  <sheetFormatPr baseColWidth="10" defaultColWidth="1.7109375" defaultRowHeight="12.75" x14ac:dyDescent="0.2"/>
  <cols>
    <col min="1" max="16384" width="1.7109375" style="59"/>
  </cols>
  <sheetData>
    <row r="1" spans="1:58" s="21" customFormat="1" ht="15.75" x14ac:dyDescent="0.2">
      <c r="A1" s="1056" t="s">
        <v>181</v>
      </c>
      <c r="B1" s="1056"/>
      <c r="C1" s="1056"/>
      <c r="D1" s="1056"/>
      <c r="E1" s="950" t="str">
        <f>IF(ISBLANK(Name),"",Name)</f>
        <v/>
      </c>
      <c r="F1" s="950"/>
      <c r="G1" s="950"/>
      <c r="H1" s="950"/>
      <c r="I1" s="950"/>
      <c r="J1" s="950"/>
      <c r="K1" s="950"/>
      <c r="L1" s="950"/>
      <c r="M1" s="950"/>
      <c r="N1" s="950"/>
      <c r="O1" s="950"/>
      <c r="P1" s="950"/>
      <c r="Q1" s="950"/>
      <c r="R1" s="950"/>
      <c r="S1" s="950"/>
      <c r="U1" s="58"/>
      <c r="V1" s="58"/>
      <c r="W1" s="58"/>
      <c r="X1" s="58"/>
      <c r="Y1" s="58"/>
      <c r="Z1" s="58"/>
      <c r="AA1" s="58"/>
      <c r="AB1" s="58"/>
      <c r="AC1" s="58"/>
      <c r="AD1" s="58"/>
      <c r="AE1" s="58"/>
      <c r="AF1" s="58"/>
      <c r="AG1" s="58"/>
      <c r="AH1" s="58"/>
      <c r="AI1" s="58"/>
      <c r="AJ1" s="58"/>
      <c r="AK1" s="58"/>
      <c r="AL1" s="58"/>
      <c r="AM1" s="1056" t="s">
        <v>2</v>
      </c>
      <c r="AN1" s="1056"/>
      <c r="AO1" s="1056"/>
      <c r="AP1" s="1056"/>
      <c r="AQ1" s="1056"/>
      <c r="AR1" s="1052" t="str">
        <f>IF(ISBLANK(Spieler),"",Spieler)</f>
        <v/>
      </c>
      <c r="AS1" s="953"/>
      <c r="AT1" s="953"/>
      <c r="AU1" s="953"/>
      <c r="AV1" s="953"/>
      <c r="AW1" s="953"/>
      <c r="AX1" s="953"/>
      <c r="AY1" s="953"/>
      <c r="AZ1" s="953"/>
      <c r="BA1" s="953"/>
      <c r="BB1" s="953"/>
      <c r="BC1" s="953"/>
      <c r="BD1" s="953"/>
      <c r="BE1" s="953"/>
      <c r="BF1" s="954"/>
    </row>
    <row r="2" spans="1:58" s="4" customFormat="1" ht="5.0999999999999996" customHeight="1" x14ac:dyDescent="0.25"/>
    <row r="3" spans="1:58" s="22" customFormat="1" ht="15.75" x14ac:dyDescent="0.2">
      <c r="A3" s="1057" t="s">
        <v>175</v>
      </c>
      <c r="B3" s="1058"/>
      <c r="C3" s="1058"/>
      <c r="D3" s="1058"/>
      <c r="E3" s="1058"/>
      <c r="F3" s="1058"/>
      <c r="G3" s="1058"/>
      <c r="H3" s="1058"/>
      <c r="I3" s="1058"/>
      <c r="J3" s="1058"/>
      <c r="K3" s="1058"/>
      <c r="L3" s="1058"/>
      <c r="M3" s="1058"/>
      <c r="N3" s="1058"/>
      <c r="O3" s="1058"/>
      <c r="P3" s="1058"/>
      <c r="Q3" s="1058"/>
      <c r="R3" s="1058"/>
      <c r="S3" s="1058"/>
      <c r="T3" s="1058"/>
      <c r="U3" s="1058"/>
      <c r="V3" s="1058"/>
      <c r="W3" s="1058"/>
      <c r="X3" s="1058"/>
      <c r="Y3" s="1058"/>
      <c r="Z3" s="1058"/>
      <c r="AA3" s="1058"/>
      <c r="AB3" s="1058"/>
      <c r="AC3" s="1058"/>
      <c r="AD3" s="1058"/>
      <c r="AE3" s="1058"/>
      <c r="AF3" s="1058"/>
      <c r="AG3" s="1058"/>
      <c r="AH3" s="1058"/>
      <c r="AI3" s="1058"/>
      <c r="AJ3" s="1058"/>
      <c r="AK3" s="1058"/>
      <c r="AL3" s="1058"/>
      <c r="AM3" s="1058"/>
      <c r="AN3" s="1058"/>
      <c r="AO3" s="1058"/>
      <c r="AP3" s="1058"/>
      <c r="AQ3" s="1058"/>
      <c r="AR3" s="1058"/>
      <c r="AS3" s="1058"/>
      <c r="AT3" s="1058"/>
      <c r="AU3" s="1058"/>
      <c r="AV3" s="1058"/>
      <c r="AW3" s="1058"/>
      <c r="AX3" s="1058"/>
      <c r="AY3" s="1058"/>
      <c r="AZ3" s="1058"/>
      <c r="BA3" s="1058"/>
      <c r="BB3" s="1058"/>
      <c r="BC3" s="1058"/>
      <c r="BD3" s="1058"/>
      <c r="BE3" s="1058"/>
      <c r="BF3" s="1059"/>
    </row>
    <row r="4" spans="1:58" ht="15.75" customHeight="1" x14ac:dyDescent="0.2">
      <c r="A4" s="1053" t="s">
        <v>176</v>
      </c>
      <c r="B4" s="1054"/>
      <c r="C4" s="1054"/>
      <c r="D4" s="1054"/>
      <c r="E4" s="1054"/>
      <c r="F4" s="1054"/>
      <c r="G4" s="1054"/>
      <c r="H4" s="1054"/>
      <c r="I4" s="1054"/>
      <c r="J4" s="1054"/>
      <c r="K4" s="1054"/>
      <c r="L4" s="1054"/>
      <c r="M4" s="1054"/>
      <c r="N4" s="1054"/>
      <c r="O4" s="1054"/>
      <c r="P4" s="1054"/>
      <c r="Q4" s="1054"/>
      <c r="R4" s="1054"/>
      <c r="S4" s="1054"/>
      <c r="T4" s="1054"/>
      <c r="U4" s="1054"/>
      <c r="V4" s="1054"/>
      <c r="W4" s="1054"/>
      <c r="X4" s="1054"/>
      <c r="Y4" s="1054"/>
      <c r="Z4" s="1054"/>
      <c r="AA4" s="1054"/>
      <c r="AB4" s="1054"/>
      <c r="AC4" s="1054"/>
      <c r="AD4" s="1054"/>
      <c r="AE4" s="1054"/>
      <c r="AF4" s="1054"/>
      <c r="AG4" s="1054"/>
      <c r="AH4" s="1054"/>
      <c r="AI4" s="1054"/>
      <c r="AJ4" s="1054"/>
      <c r="AK4" s="1054"/>
      <c r="AL4" s="1054"/>
      <c r="AM4" s="1054"/>
      <c r="AN4" s="1054"/>
      <c r="AO4" s="1054"/>
      <c r="AP4" s="1054"/>
      <c r="AQ4" s="1054"/>
      <c r="AR4" s="1054"/>
      <c r="AS4" s="1054"/>
      <c r="AT4" s="1054"/>
      <c r="AU4" s="1054"/>
      <c r="AV4" s="1054"/>
      <c r="AW4" s="1054"/>
      <c r="AX4" s="1054"/>
      <c r="AY4" s="1054"/>
      <c r="AZ4" s="1054"/>
      <c r="BA4" s="1054"/>
      <c r="BB4" s="1054"/>
      <c r="BC4" s="1054"/>
      <c r="BD4" s="1054"/>
      <c r="BE4" s="1054"/>
      <c r="BF4" s="1055"/>
    </row>
    <row r="5" spans="1:58" x14ac:dyDescent="0.2">
      <c r="A5" s="1051"/>
      <c r="B5" s="1051"/>
      <c r="C5" s="1051"/>
      <c r="D5" s="1051"/>
      <c r="E5" s="1051"/>
      <c r="F5" s="1051"/>
      <c r="G5" s="1051"/>
      <c r="H5" s="1051"/>
      <c r="I5" s="1051"/>
      <c r="J5" s="1051"/>
      <c r="K5" s="1051"/>
      <c r="L5" s="1051"/>
      <c r="M5" s="1051"/>
      <c r="N5" s="1051"/>
      <c r="O5" s="1051"/>
      <c r="P5" s="1051"/>
      <c r="Q5" s="1051"/>
      <c r="R5" s="1051"/>
      <c r="S5" s="1051"/>
      <c r="T5" s="1051"/>
      <c r="U5" s="1051"/>
      <c r="V5" s="1051"/>
      <c r="W5" s="1051"/>
      <c r="X5" s="1051"/>
      <c r="Y5" s="1051"/>
      <c r="Z5" s="1051"/>
      <c r="AA5" s="1051"/>
      <c r="AB5" s="1051"/>
      <c r="AC5" s="1051"/>
      <c r="AD5" s="1051"/>
      <c r="AE5" s="1051"/>
      <c r="AF5" s="1051"/>
      <c r="AG5" s="1051"/>
      <c r="AH5" s="1051"/>
      <c r="AI5" s="1051"/>
      <c r="AJ5" s="1051"/>
      <c r="AK5" s="1051"/>
      <c r="AL5" s="1051"/>
      <c r="AM5" s="1051"/>
      <c r="AN5" s="1051"/>
      <c r="AO5" s="1051"/>
      <c r="AP5" s="1051"/>
      <c r="AQ5" s="1051"/>
      <c r="AR5" s="1051"/>
      <c r="AS5" s="1051"/>
      <c r="AT5" s="1051"/>
      <c r="AU5" s="1051"/>
      <c r="AV5" s="1051"/>
      <c r="AW5" s="1051"/>
      <c r="AX5" s="1051"/>
      <c r="AY5" s="1051"/>
      <c r="AZ5" s="1051"/>
      <c r="BA5" s="1051"/>
      <c r="BB5" s="1051"/>
      <c r="BC5" s="1051"/>
      <c r="BD5" s="1051"/>
      <c r="BE5" s="1051"/>
      <c r="BF5" s="1051"/>
    </row>
    <row r="6" spans="1:58" x14ac:dyDescent="0.2">
      <c r="A6" s="1051"/>
      <c r="B6" s="1051"/>
      <c r="C6" s="1051"/>
      <c r="D6" s="1051"/>
      <c r="E6" s="1051"/>
      <c r="F6" s="1051"/>
      <c r="G6" s="1051"/>
      <c r="H6" s="1051"/>
      <c r="I6" s="1051"/>
      <c r="J6" s="1051"/>
      <c r="K6" s="1051"/>
      <c r="L6" s="1051"/>
      <c r="M6" s="1051"/>
      <c r="N6" s="1051"/>
      <c r="O6" s="1051"/>
      <c r="P6" s="1051"/>
      <c r="Q6" s="1051"/>
      <c r="R6" s="1051"/>
      <c r="S6" s="1051"/>
      <c r="T6" s="1051"/>
      <c r="U6" s="1051"/>
      <c r="V6" s="1051"/>
      <c r="W6" s="1051"/>
      <c r="X6" s="1051"/>
      <c r="Y6" s="1051"/>
      <c r="Z6" s="1051"/>
      <c r="AA6" s="1051"/>
      <c r="AB6" s="1051"/>
      <c r="AC6" s="1051"/>
      <c r="AD6" s="1051"/>
      <c r="AE6" s="1051"/>
      <c r="AF6" s="1051"/>
      <c r="AG6" s="1051"/>
      <c r="AH6" s="1051"/>
      <c r="AI6" s="1051"/>
      <c r="AJ6" s="1051"/>
      <c r="AK6" s="1051"/>
      <c r="AL6" s="1051"/>
      <c r="AM6" s="1051"/>
      <c r="AN6" s="1051"/>
      <c r="AO6" s="1051"/>
      <c r="AP6" s="1051"/>
      <c r="AQ6" s="1051"/>
      <c r="AR6" s="1051"/>
      <c r="AS6" s="1051"/>
      <c r="AT6" s="1051"/>
      <c r="AU6" s="1051"/>
      <c r="AV6" s="1051"/>
      <c r="AW6" s="1051"/>
      <c r="AX6" s="1051"/>
      <c r="AY6" s="1051"/>
      <c r="AZ6" s="1051"/>
      <c r="BA6" s="1051"/>
      <c r="BB6" s="1051"/>
      <c r="BC6" s="1051"/>
      <c r="BD6" s="1051"/>
      <c r="BE6" s="1051"/>
      <c r="BF6" s="1051"/>
    </row>
    <row r="7" spans="1:58" x14ac:dyDescent="0.2">
      <c r="A7" s="1051"/>
      <c r="B7" s="1051"/>
      <c r="C7" s="1051"/>
      <c r="D7" s="1051"/>
      <c r="E7" s="1051"/>
      <c r="F7" s="1051"/>
      <c r="G7" s="1051"/>
      <c r="H7" s="1051"/>
      <c r="I7" s="1051"/>
      <c r="J7" s="1051"/>
      <c r="K7" s="1051"/>
      <c r="L7" s="1051"/>
      <c r="M7" s="1051"/>
      <c r="N7" s="1051"/>
      <c r="O7" s="1051"/>
      <c r="P7" s="1051"/>
      <c r="Q7" s="1051"/>
      <c r="R7" s="1051"/>
      <c r="S7" s="1051"/>
      <c r="T7" s="1051"/>
      <c r="U7" s="1051"/>
      <c r="V7" s="1051"/>
      <c r="W7" s="1051"/>
      <c r="X7" s="1051"/>
      <c r="Y7" s="1051"/>
      <c r="Z7" s="1051"/>
      <c r="AA7" s="1051"/>
      <c r="AB7" s="1051"/>
      <c r="AC7" s="1051"/>
      <c r="AD7" s="1051"/>
      <c r="AE7" s="1051"/>
      <c r="AF7" s="1051"/>
      <c r="AG7" s="1051"/>
      <c r="AH7" s="1051"/>
      <c r="AI7" s="1051"/>
      <c r="AJ7" s="1051"/>
      <c r="AK7" s="1051"/>
      <c r="AL7" s="1051"/>
      <c r="AM7" s="1051"/>
      <c r="AN7" s="1051"/>
      <c r="AO7" s="1051"/>
      <c r="AP7" s="1051"/>
      <c r="AQ7" s="1051"/>
      <c r="AR7" s="1051"/>
      <c r="AS7" s="1051"/>
      <c r="AT7" s="1051"/>
      <c r="AU7" s="1051"/>
      <c r="AV7" s="1051"/>
      <c r="AW7" s="1051"/>
      <c r="AX7" s="1051"/>
      <c r="AY7" s="1051"/>
      <c r="AZ7" s="1051"/>
      <c r="BA7" s="1051"/>
      <c r="BB7" s="1051"/>
      <c r="BC7" s="1051"/>
      <c r="BD7" s="1051"/>
      <c r="BE7" s="1051"/>
      <c r="BF7" s="1051"/>
    </row>
    <row r="8" spans="1:58" x14ac:dyDescent="0.2">
      <c r="A8" s="1051"/>
      <c r="B8" s="1051"/>
      <c r="C8" s="1051"/>
      <c r="D8" s="1051"/>
      <c r="E8" s="1051"/>
      <c r="F8" s="1051"/>
      <c r="G8" s="1051"/>
      <c r="H8" s="1051"/>
      <c r="I8" s="1051"/>
      <c r="J8" s="1051"/>
      <c r="K8" s="1051"/>
      <c r="L8" s="1051"/>
      <c r="M8" s="1051"/>
      <c r="N8" s="1051"/>
      <c r="O8" s="1051"/>
      <c r="P8" s="1051"/>
      <c r="Q8" s="1051"/>
      <c r="R8" s="1051"/>
      <c r="S8" s="1051"/>
      <c r="T8" s="1051"/>
      <c r="U8" s="1051"/>
      <c r="V8" s="1051"/>
      <c r="W8" s="1051"/>
      <c r="X8" s="1051"/>
      <c r="Y8" s="1051"/>
      <c r="Z8" s="1051"/>
      <c r="AA8" s="1051"/>
      <c r="AB8" s="1051"/>
      <c r="AC8" s="1051"/>
      <c r="AD8" s="1051"/>
      <c r="AE8" s="1051"/>
      <c r="AF8" s="1051"/>
      <c r="AG8" s="1051"/>
      <c r="AH8" s="1051"/>
      <c r="AI8" s="1051"/>
      <c r="AJ8" s="1051"/>
      <c r="AK8" s="1051"/>
      <c r="AL8" s="1051"/>
      <c r="AM8" s="1051"/>
      <c r="AN8" s="1051"/>
      <c r="AO8" s="1051"/>
      <c r="AP8" s="1051"/>
      <c r="AQ8" s="1051"/>
      <c r="AR8" s="1051"/>
      <c r="AS8" s="1051"/>
      <c r="AT8" s="1051"/>
      <c r="AU8" s="1051"/>
      <c r="AV8" s="1051"/>
      <c r="AW8" s="1051"/>
      <c r="AX8" s="1051"/>
      <c r="AY8" s="1051"/>
      <c r="AZ8" s="1051"/>
      <c r="BA8" s="1051"/>
      <c r="BB8" s="1051"/>
      <c r="BC8" s="1051"/>
      <c r="BD8" s="1051"/>
      <c r="BE8" s="1051"/>
      <c r="BF8" s="1051"/>
    </row>
    <row r="9" spans="1:58" x14ac:dyDescent="0.2">
      <c r="A9" s="1051"/>
      <c r="B9" s="1051"/>
      <c r="C9" s="1051"/>
      <c r="D9" s="1051"/>
      <c r="E9" s="1051"/>
      <c r="F9" s="1051"/>
      <c r="G9" s="1051"/>
      <c r="H9" s="1051"/>
      <c r="I9" s="1051"/>
      <c r="J9" s="1051"/>
      <c r="K9" s="1051"/>
      <c r="L9" s="1051"/>
      <c r="M9" s="1051"/>
      <c r="N9" s="1051"/>
      <c r="O9" s="1051"/>
      <c r="P9" s="1051"/>
      <c r="Q9" s="1051"/>
      <c r="R9" s="1051"/>
      <c r="S9" s="1051"/>
      <c r="T9" s="1051"/>
      <c r="U9" s="1051"/>
      <c r="V9" s="1051"/>
      <c r="W9" s="1051"/>
      <c r="X9" s="1051"/>
      <c r="Y9" s="1051"/>
      <c r="Z9" s="1051"/>
      <c r="AA9" s="1051"/>
      <c r="AB9" s="1051"/>
      <c r="AC9" s="1051"/>
      <c r="AD9" s="1051"/>
      <c r="AE9" s="1051"/>
      <c r="AF9" s="1051"/>
      <c r="AG9" s="1051"/>
      <c r="AH9" s="1051"/>
      <c r="AI9" s="1051"/>
      <c r="AJ9" s="1051"/>
      <c r="AK9" s="1051"/>
      <c r="AL9" s="1051"/>
      <c r="AM9" s="1051"/>
      <c r="AN9" s="1051"/>
      <c r="AO9" s="1051"/>
      <c r="AP9" s="1051"/>
      <c r="AQ9" s="1051"/>
      <c r="AR9" s="1051"/>
      <c r="AS9" s="1051"/>
      <c r="AT9" s="1051"/>
      <c r="AU9" s="1051"/>
      <c r="AV9" s="1051"/>
      <c r="AW9" s="1051"/>
      <c r="AX9" s="1051"/>
      <c r="AY9" s="1051"/>
      <c r="AZ9" s="1051"/>
      <c r="BA9" s="1051"/>
      <c r="BB9" s="1051"/>
      <c r="BC9" s="1051"/>
      <c r="BD9" s="1051"/>
      <c r="BE9" s="1051"/>
      <c r="BF9" s="1051"/>
    </row>
    <row r="10" spans="1:58" ht="15.75" customHeight="1" x14ac:dyDescent="0.2">
      <c r="A10" s="1053" t="s">
        <v>177</v>
      </c>
      <c r="B10" s="1054"/>
      <c r="C10" s="1054"/>
      <c r="D10" s="1054"/>
      <c r="E10" s="1054"/>
      <c r="F10" s="1054"/>
      <c r="G10" s="1054"/>
      <c r="H10" s="1054"/>
      <c r="I10" s="1054"/>
      <c r="J10" s="1054"/>
      <c r="K10" s="1054"/>
      <c r="L10" s="1054"/>
      <c r="M10" s="1054"/>
      <c r="N10" s="1054"/>
      <c r="O10" s="1054"/>
      <c r="P10" s="1054"/>
      <c r="Q10" s="1054"/>
      <c r="R10" s="1054"/>
      <c r="S10" s="1054"/>
      <c r="T10" s="1054"/>
      <c r="U10" s="1054"/>
      <c r="V10" s="1054"/>
      <c r="W10" s="1054"/>
      <c r="X10" s="1054"/>
      <c r="Y10" s="1054"/>
      <c r="Z10" s="1054"/>
      <c r="AA10" s="1054"/>
      <c r="AB10" s="1054"/>
      <c r="AC10" s="1054"/>
      <c r="AD10" s="1054"/>
      <c r="AE10" s="1054"/>
      <c r="AF10" s="1054"/>
      <c r="AG10" s="1054"/>
      <c r="AH10" s="1054"/>
      <c r="AI10" s="1054"/>
      <c r="AJ10" s="1054"/>
      <c r="AK10" s="1054"/>
      <c r="AL10" s="1054"/>
      <c r="AM10" s="1054"/>
      <c r="AN10" s="1054"/>
      <c r="AO10" s="1054"/>
      <c r="AP10" s="1054"/>
      <c r="AQ10" s="1054"/>
      <c r="AR10" s="1054"/>
      <c r="AS10" s="1054"/>
      <c r="AT10" s="1054"/>
      <c r="AU10" s="1054"/>
      <c r="AV10" s="1054"/>
      <c r="AW10" s="1054"/>
      <c r="AX10" s="1054"/>
      <c r="AY10" s="1054"/>
      <c r="AZ10" s="1054"/>
      <c r="BA10" s="1054"/>
      <c r="BB10" s="1054"/>
      <c r="BC10" s="1054"/>
      <c r="BD10" s="1054"/>
      <c r="BE10" s="1054"/>
      <c r="BF10" s="1055"/>
    </row>
    <row r="11" spans="1:58" x14ac:dyDescent="0.2">
      <c r="A11" s="1051"/>
      <c r="B11" s="1051"/>
      <c r="C11" s="1051"/>
      <c r="D11" s="1051"/>
      <c r="E11" s="1051"/>
      <c r="F11" s="1051"/>
      <c r="G11" s="1051"/>
      <c r="H11" s="1051"/>
      <c r="I11" s="1051"/>
      <c r="J11" s="1051"/>
      <c r="K11" s="1051"/>
      <c r="L11" s="1051"/>
      <c r="M11" s="1051"/>
      <c r="N11" s="1051"/>
      <c r="O11" s="1051"/>
      <c r="P11" s="1051"/>
      <c r="Q11" s="1051"/>
      <c r="R11" s="1051"/>
      <c r="S11" s="1051"/>
      <c r="T11" s="1051"/>
      <c r="U11" s="1051"/>
      <c r="V11" s="1051"/>
      <c r="W11" s="1051"/>
      <c r="X11" s="1051"/>
      <c r="Y11" s="1051"/>
      <c r="Z11" s="1051"/>
      <c r="AA11" s="1051"/>
      <c r="AB11" s="1051"/>
      <c r="AC11" s="1051"/>
      <c r="AD11" s="1051"/>
      <c r="AE11" s="1051"/>
      <c r="AF11" s="1051"/>
      <c r="AG11" s="1051"/>
      <c r="AH11" s="1051"/>
      <c r="AI11" s="1051"/>
      <c r="AJ11" s="1051"/>
      <c r="AK11" s="1051"/>
      <c r="AL11" s="1051"/>
      <c r="AM11" s="1051"/>
      <c r="AN11" s="1051"/>
      <c r="AO11" s="1051"/>
      <c r="AP11" s="1051"/>
      <c r="AQ11" s="1051"/>
      <c r="AR11" s="1051"/>
      <c r="AS11" s="1051"/>
      <c r="AT11" s="1051"/>
      <c r="AU11" s="1051"/>
      <c r="AV11" s="1051"/>
      <c r="AW11" s="1051"/>
      <c r="AX11" s="1051"/>
      <c r="AY11" s="1051"/>
      <c r="AZ11" s="1051"/>
      <c r="BA11" s="1051"/>
      <c r="BB11" s="1051"/>
      <c r="BC11" s="1051"/>
      <c r="BD11" s="1051"/>
      <c r="BE11" s="1051"/>
      <c r="BF11" s="1051"/>
    </row>
    <row r="12" spans="1:58" x14ac:dyDescent="0.2">
      <c r="A12" s="1051"/>
      <c r="B12" s="1051"/>
      <c r="C12" s="1051"/>
      <c r="D12" s="1051"/>
      <c r="E12" s="1051"/>
      <c r="F12" s="1051"/>
      <c r="G12" s="1051"/>
      <c r="H12" s="1051"/>
      <c r="I12" s="1051"/>
      <c r="J12" s="1051"/>
      <c r="K12" s="1051"/>
      <c r="L12" s="1051"/>
      <c r="M12" s="1051"/>
      <c r="N12" s="1051"/>
      <c r="O12" s="1051"/>
      <c r="P12" s="1051"/>
      <c r="Q12" s="1051"/>
      <c r="R12" s="1051"/>
      <c r="S12" s="1051"/>
      <c r="T12" s="1051"/>
      <c r="U12" s="1051"/>
      <c r="V12" s="1051"/>
      <c r="W12" s="1051"/>
      <c r="X12" s="1051"/>
      <c r="Y12" s="1051"/>
      <c r="Z12" s="1051"/>
      <c r="AA12" s="1051"/>
      <c r="AB12" s="1051"/>
      <c r="AC12" s="1051"/>
      <c r="AD12" s="1051"/>
      <c r="AE12" s="1051"/>
      <c r="AF12" s="1051"/>
      <c r="AG12" s="1051"/>
      <c r="AH12" s="1051"/>
      <c r="AI12" s="1051"/>
      <c r="AJ12" s="1051"/>
      <c r="AK12" s="1051"/>
      <c r="AL12" s="1051"/>
      <c r="AM12" s="1051"/>
      <c r="AN12" s="1051"/>
      <c r="AO12" s="1051"/>
      <c r="AP12" s="1051"/>
      <c r="AQ12" s="1051"/>
      <c r="AR12" s="1051"/>
      <c r="AS12" s="1051"/>
      <c r="AT12" s="1051"/>
      <c r="AU12" s="1051"/>
      <c r="AV12" s="1051"/>
      <c r="AW12" s="1051"/>
      <c r="AX12" s="1051"/>
      <c r="AY12" s="1051"/>
      <c r="AZ12" s="1051"/>
      <c r="BA12" s="1051"/>
      <c r="BB12" s="1051"/>
      <c r="BC12" s="1051"/>
      <c r="BD12" s="1051"/>
      <c r="BE12" s="1051"/>
      <c r="BF12" s="1051"/>
    </row>
    <row r="13" spans="1:58" x14ac:dyDescent="0.2">
      <c r="A13" s="1051"/>
      <c r="B13" s="1051"/>
      <c r="C13" s="1051"/>
      <c r="D13" s="1051"/>
      <c r="E13" s="1051"/>
      <c r="F13" s="1051"/>
      <c r="G13" s="1051"/>
      <c r="H13" s="1051"/>
      <c r="I13" s="1051"/>
      <c r="J13" s="1051"/>
      <c r="K13" s="1051"/>
      <c r="L13" s="1051"/>
      <c r="M13" s="1051"/>
      <c r="N13" s="1051"/>
      <c r="O13" s="1051"/>
      <c r="P13" s="1051"/>
      <c r="Q13" s="1051"/>
      <c r="R13" s="1051"/>
      <c r="S13" s="1051"/>
      <c r="T13" s="1051"/>
      <c r="U13" s="1051"/>
      <c r="V13" s="1051"/>
      <c r="W13" s="1051"/>
      <c r="X13" s="1051"/>
      <c r="Y13" s="1051"/>
      <c r="Z13" s="1051"/>
      <c r="AA13" s="1051"/>
      <c r="AB13" s="1051"/>
      <c r="AC13" s="1051"/>
      <c r="AD13" s="1051"/>
      <c r="AE13" s="1051"/>
      <c r="AF13" s="1051"/>
      <c r="AG13" s="1051"/>
      <c r="AH13" s="1051"/>
      <c r="AI13" s="1051"/>
      <c r="AJ13" s="1051"/>
      <c r="AK13" s="1051"/>
      <c r="AL13" s="1051"/>
      <c r="AM13" s="1051"/>
      <c r="AN13" s="1051"/>
      <c r="AO13" s="1051"/>
      <c r="AP13" s="1051"/>
      <c r="AQ13" s="1051"/>
      <c r="AR13" s="1051"/>
      <c r="AS13" s="1051"/>
      <c r="AT13" s="1051"/>
      <c r="AU13" s="1051"/>
      <c r="AV13" s="1051"/>
      <c r="AW13" s="1051"/>
      <c r="AX13" s="1051"/>
      <c r="AY13" s="1051"/>
      <c r="AZ13" s="1051"/>
      <c r="BA13" s="1051"/>
      <c r="BB13" s="1051"/>
      <c r="BC13" s="1051"/>
      <c r="BD13" s="1051"/>
      <c r="BE13" s="1051"/>
      <c r="BF13" s="1051"/>
    </row>
    <row r="14" spans="1:58" x14ac:dyDescent="0.2">
      <c r="A14" s="1051"/>
      <c r="B14" s="1051"/>
      <c r="C14" s="1051"/>
      <c r="D14" s="1051"/>
      <c r="E14" s="1051"/>
      <c r="F14" s="1051"/>
      <c r="G14" s="1051"/>
      <c r="H14" s="1051"/>
      <c r="I14" s="1051"/>
      <c r="J14" s="1051"/>
      <c r="K14" s="1051"/>
      <c r="L14" s="1051"/>
      <c r="M14" s="1051"/>
      <c r="N14" s="1051"/>
      <c r="O14" s="1051"/>
      <c r="P14" s="1051"/>
      <c r="Q14" s="1051"/>
      <c r="R14" s="1051"/>
      <c r="S14" s="1051"/>
      <c r="T14" s="1051"/>
      <c r="U14" s="1051"/>
      <c r="V14" s="1051"/>
      <c r="W14" s="1051"/>
      <c r="X14" s="1051"/>
      <c r="Y14" s="1051"/>
      <c r="Z14" s="1051"/>
      <c r="AA14" s="1051"/>
      <c r="AB14" s="1051"/>
      <c r="AC14" s="1051"/>
      <c r="AD14" s="1051"/>
      <c r="AE14" s="1051"/>
      <c r="AF14" s="1051"/>
      <c r="AG14" s="1051"/>
      <c r="AH14" s="1051"/>
      <c r="AI14" s="1051"/>
      <c r="AJ14" s="1051"/>
      <c r="AK14" s="1051"/>
      <c r="AL14" s="1051"/>
      <c r="AM14" s="1051"/>
      <c r="AN14" s="1051"/>
      <c r="AO14" s="1051"/>
      <c r="AP14" s="1051"/>
      <c r="AQ14" s="1051"/>
      <c r="AR14" s="1051"/>
      <c r="AS14" s="1051"/>
      <c r="AT14" s="1051"/>
      <c r="AU14" s="1051"/>
      <c r="AV14" s="1051"/>
      <c r="AW14" s="1051"/>
      <c r="AX14" s="1051"/>
      <c r="AY14" s="1051"/>
      <c r="AZ14" s="1051"/>
      <c r="BA14" s="1051"/>
      <c r="BB14" s="1051"/>
      <c r="BC14" s="1051"/>
      <c r="BD14" s="1051"/>
      <c r="BE14" s="1051"/>
      <c r="BF14" s="1051"/>
    </row>
    <row r="15" spans="1:58" x14ac:dyDescent="0.2">
      <c r="A15" s="1051"/>
      <c r="B15" s="1051"/>
      <c r="C15" s="1051"/>
      <c r="D15" s="1051"/>
      <c r="E15" s="1051"/>
      <c r="F15" s="1051"/>
      <c r="G15" s="1051"/>
      <c r="H15" s="1051"/>
      <c r="I15" s="1051"/>
      <c r="J15" s="1051"/>
      <c r="K15" s="1051"/>
      <c r="L15" s="1051"/>
      <c r="M15" s="1051"/>
      <c r="N15" s="1051"/>
      <c r="O15" s="1051"/>
      <c r="P15" s="1051"/>
      <c r="Q15" s="1051"/>
      <c r="R15" s="1051"/>
      <c r="S15" s="1051"/>
      <c r="T15" s="1051"/>
      <c r="U15" s="1051"/>
      <c r="V15" s="1051"/>
      <c r="W15" s="1051"/>
      <c r="X15" s="1051"/>
      <c r="Y15" s="1051"/>
      <c r="Z15" s="1051"/>
      <c r="AA15" s="1051"/>
      <c r="AB15" s="1051"/>
      <c r="AC15" s="1051"/>
      <c r="AD15" s="1051"/>
      <c r="AE15" s="1051"/>
      <c r="AF15" s="1051"/>
      <c r="AG15" s="1051"/>
      <c r="AH15" s="1051"/>
      <c r="AI15" s="1051"/>
      <c r="AJ15" s="1051"/>
      <c r="AK15" s="1051"/>
      <c r="AL15" s="1051"/>
      <c r="AM15" s="1051"/>
      <c r="AN15" s="1051"/>
      <c r="AO15" s="1051"/>
      <c r="AP15" s="1051"/>
      <c r="AQ15" s="1051"/>
      <c r="AR15" s="1051"/>
      <c r="AS15" s="1051"/>
      <c r="AT15" s="1051"/>
      <c r="AU15" s="1051"/>
      <c r="AV15" s="1051"/>
      <c r="AW15" s="1051"/>
      <c r="AX15" s="1051"/>
      <c r="AY15" s="1051"/>
      <c r="AZ15" s="1051"/>
      <c r="BA15" s="1051"/>
      <c r="BB15" s="1051"/>
      <c r="BC15" s="1051"/>
      <c r="BD15" s="1051"/>
      <c r="BE15" s="1051"/>
      <c r="BF15" s="1051"/>
    </row>
    <row r="16" spans="1:58" x14ac:dyDescent="0.2">
      <c r="A16" s="1051"/>
      <c r="B16" s="1051"/>
      <c r="C16" s="1051"/>
      <c r="D16" s="1051"/>
      <c r="E16" s="1051"/>
      <c r="F16" s="1051"/>
      <c r="G16" s="1051"/>
      <c r="H16" s="1051"/>
      <c r="I16" s="1051"/>
      <c r="J16" s="1051"/>
      <c r="K16" s="1051"/>
      <c r="L16" s="1051"/>
      <c r="M16" s="1051"/>
      <c r="N16" s="1051"/>
      <c r="O16" s="1051"/>
      <c r="P16" s="1051"/>
      <c r="Q16" s="1051"/>
      <c r="R16" s="1051"/>
      <c r="S16" s="1051"/>
      <c r="T16" s="1051"/>
      <c r="U16" s="1051"/>
      <c r="V16" s="1051"/>
      <c r="W16" s="1051"/>
      <c r="X16" s="1051"/>
      <c r="Y16" s="1051"/>
      <c r="Z16" s="1051"/>
      <c r="AA16" s="1051"/>
      <c r="AB16" s="1051"/>
      <c r="AC16" s="1051"/>
      <c r="AD16" s="1051"/>
      <c r="AE16" s="1051"/>
      <c r="AF16" s="1051"/>
      <c r="AG16" s="1051"/>
      <c r="AH16" s="1051"/>
      <c r="AI16" s="1051"/>
      <c r="AJ16" s="1051"/>
      <c r="AK16" s="1051"/>
      <c r="AL16" s="1051"/>
      <c r="AM16" s="1051"/>
      <c r="AN16" s="1051"/>
      <c r="AO16" s="1051"/>
      <c r="AP16" s="1051"/>
      <c r="AQ16" s="1051"/>
      <c r="AR16" s="1051"/>
      <c r="AS16" s="1051"/>
      <c r="AT16" s="1051"/>
      <c r="AU16" s="1051"/>
      <c r="AV16" s="1051"/>
      <c r="AW16" s="1051"/>
      <c r="AX16" s="1051"/>
      <c r="AY16" s="1051"/>
      <c r="AZ16" s="1051"/>
      <c r="BA16" s="1051"/>
      <c r="BB16" s="1051"/>
      <c r="BC16" s="1051"/>
      <c r="BD16" s="1051"/>
      <c r="BE16" s="1051"/>
      <c r="BF16" s="1051"/>
    </row>
    <row r="17" spans="1:58" ht="15.75" customHeight="1" x14ac:dyDescent="0.2">
      <c r="A17" s="1053" t="s">
        <v>178</v>
      </c>
      <c r="B17" s="1054"/>
      <c r="C17" s="1054"/>
      <c r="D17" s="1054"/>
      <c r="E17" s="1054"/>
      <c r="F17" s="1054"/>
      <c r="G17" s="1054"/>
      <c r="H17" s="1054"/>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c r="AK17" s="1054"/>
      <c r="AL17" s="1054"/>
      <c r="AM17" s="1054"/>
      <c r="AN17" s="1054"/>
      <c r="AO17" s="1054"/>
      <c r="AP17" s="1054"/>
      <c r="AQ17" s="1054"/>
      <c r="AR17" s="1054"/>
      <c r="AS17" s="1054"/>
      <c r="AT17" s="1054"/>
      <c r="AU17" s="1054"/>
      <c r="AV17" s="1054"/>
      <c r="AW17" s="1054"/>
      <c r="AX17" s="1054"/>
      <c r="AY17" s="1054"/>
      <c r="AZ17" s="1054"/>
      <c r="BA17" s="1054"/>
      <c r="BB17" s="1054"/>
      <c r="BC17" s="1054"/>
      <c r="BD17" s="1054"/>
      <c r="BE17" s="1054"/>
      <c r="BF17" s="1055"/>
    </row>
    <row r="18" spans="1:58" x14ac:dyDescent="0.2">
      <c r="A18" s="1051"/>
      <c r="B18" s="1051"/>
      <c r="C18" s="1051"/>
      <c r="D18" s="1051"/>
      <c r="E18" s="1051"/>
      <c r="F18" s="1051"/>
      <c r="G18" s="1051"/>
      <c r="H18" s="1051"/>
      <c r="I18" s="1051"/>
      <c r="J18" s="1051"/>
      <c r="K18" s="1051"/>
      <c r="L18" s="1051"/>
      <c r="M18" s="1051"/>
      <c r="N18" s="1051"/>
      <c r="O18" s="1051"/>
      <c r="P18" s="1051"/>
      <c r="Q18" s="1051"/>
      <c r="R18" s="1051"/>
      <c r="S18" s="1051"/>
      <c r="T18" s="1051"/>
      <c r="U18" s="1051"/>
      <c r="V18" s="1051"/>
      <c r="W18" s="1051"/>
      <c r="X18" s="1051"/>
      <c r="Y18" s="1051"/>
      <c r="Z18" s="1051"/>
      <c r="AA18" s="1051"/>
      <c r="AB18" s="1051"/>
      <c r="AC18" s="1051"/>
      <c r="AD18" s="1051"/>
      <c r="AE18" s="1051"/>
      <c r="AF18" s="1051"/>
      <c r="AG18" s="1051"/>
      <c r="AH18" s="1051"/>
      <c r="AI18" s="1051"/>
      <c r="AJ18" s="1051"/>
      <c r="AK18" s="1051"/>
      <c r="AL18" s="1051"/>
      <c r="AM18" s="1051"/>
      <c r="AN18" s="1051"/>
      <c r="AO18" s="1051"/>
      <c r="AP18" s="1051"/>
      <c r="AQ18" s="1051"/>
      <c r="AR18" s="1051"/>
      <c r="AS18" s="1051"/>
      <c r="AT18" s="1051"/>
      <c r="AU18" s="1051"/>
      <c r="AV18" s="1051"/>
      <c r="AW18" s="1051"/>
      <c r="AX18" s="1051"/>
      <c r="AY18" s="1051"/>
      <c r="AZ18" s="1051"/>
      <c r="BA18" s="1051"/>
      <c r="BB18" s="1051"/>
      <c r="BC18" s="1051"/>
      <c r="BD18" s="1051"/>
      <c r="BE18" s="1051"/>
      <c r="BF18" s="1051"/>
    </row>
    <row r="19" spans="1:58" x14ac:dyDescent="0.2">
      <c r="A19" s="1051"/>
      <c r="B19" s="1051"/>
      <c r="C19" s="1051"/>
      <c r="D19" s="1051"/>
      <c r="E19" s="1051"/>
      <c r="F19" s="1051"/>
      <c r="G19" s="1051"/>
      <c r="H19" s="1051"/>
      <c r="I19" s="1051"/>
      <c r="J19" s="1051"/>
      <c r="K19" s="1051"/>
      <c r="L19" s="1051"/>
      <c r="M19" s="1051"/>
      <c r="N19" s="1051"/>
      <c r="O19" s="1051"/>
      <c r="P19" s="1051"/>
      <c r="Q19" s="1051"/>
      <c r="R19" s="1051"/>
      <c r="S19" s="1051"/>
      <c r="T19" s="1051"/>
      <c r="U19" s="1051"/>
      <c r="V19" s="1051"/>
      <c r="W19" s="1051"/>
      <c r="X19" s="1051"/>
      <c r="Y19" s="1051"/>
      <c r="Z19" s="1051"/>
      <c r="AA19" s="1051"/>
      <c r="AB19" s="1051"/>
      <c r="AC19" s="1051"/>
      <c r="AD19" s="1051"/>
      <c r="AE19" s="1051"/>
      <c r="AF19" s="1051"/>
      <c r="AG19" s="1051"/>
      <c r="AH19" s="1051"/>
      <c r="AI19" s="1051"/>
      <c r="AJ19" s="1051"/>
      <c r="AK19" s="1051"/>
      <c r="AL19" s="1051"/>
      <c r="AM19" s="1051"/>
      <c r="AN19" s="1051"/>
      <c r="AO19" s="1051"/>
      <c r="AP19" s="1051"/>
      <c r="AQ19" s="1051"/>
      <c r="AR19" s="1051"/>
      <c r="AS19" s="1051"/>
      <c r="AT19" s="1051"/>
      <c r="AU19" s="1051"/>
      <c r="AV19" s="1051"/>
      <c r="AW19" s="1051"/>
      <c r="AX19" s="1051"/>
      <c r="AY19" s="1051"/>
      <c r="AZ19" s="1051"/>
      <c r="BA19" s="1051"/>
      <c r="BB19" s="1051"/>
      <c r="BC19" s="1051"/>
      <c r="BD19" s="1051"/>
      <c r="BE19" s="1051"/>
      <c r="BF19" s="1051"/>
    </row>
    <row r="20" spans="1:58" x14ac:dyDescent="0.2">
      <c r="A20" s="1051"/>
      <c r="B20" s="1051"/>
      <c r="C20" s="1051"/>
      <c r="D20" s="1051"/>
      <c r="E20" s="1051"/>
      <c r="F20" s="1051"/>
      <c r="G20" s="1051"/>
      <c r="H20" s="1051"/>
      <c r="I20" s="1051"/>
      <c r="J20" s="1051"/>
      <c r="K20" s="1051"/>
      <c r="L20" s="1051"/>
      <c r="M20" s="1051"/>
      <c r="N20" s="1051"/>
      <c r="O20" s="1051"/>
      <c r="P20" s="1051"/>
      <c r="Q20" s="1051"/>
      <c r="R20" s="1051"/>
      <c r="S20" s="1051"/>
      <c r="T20" s="1051"/>
      <c r="U20" s="1051"/>
      <c r="V20" s="1051"/>
      <c r="W20" s="1051"/>
      <c r="X20" s="1051"/>
      <c r="Y20" s="1051"/>
      <c r="Z20" s="1051"/>
      <c r="AA20" s="1051"/>
      <c r="AB20" s="1051"/>
      <c r="AC20" s="1051"/>
      <c r="AD20" s="1051"/>
      <c r="AE20" s="1051"/>
      <c r="AF20" s="1051"/>
      <c r="AG20" s="1051"/>
      <c r="AH20" s="1051"/>
      <c r="AI20" s="1051"/>
      <c r="AJ20" s="1051"/>
      <c r="AK20" s="1051"/>
      <c r="AL20" s="1051"/>
      <c r="AM20" s="1051"/>
      <c r="AN20" s="1051"/>
      <c r="AO20" s="1051"/>
      <c r="AP20" s="1051"/>
      <c r="AQ20" s="1051"/>
      <c r="AR20" s="1051"/>
      <c r="AS20" s="1051"/>
      <c r="AT20" s="1051"/>
      <c r="AU20" s="1051"/>
      <c r="AV20" s="1051"/>
      <c r="AW20" s="1051"/>
      <c r="AX20" s="1051"/>
      <c r="AY20" s="1051"/>
      <c r="AZ20" s="1051"/>
      <c r="BA20" s="1051"/>
      <c r="BB20" s="1051"/>
      <c r="BC20" s="1051"/>
      <c r="BD20" s="1051"/>
      <c r="BE20" s="1051"/>
      <c r="BF20" s="1051"/>
    </row>
    <row r="21" spans="1:58" x14ac:dyDescent="0.2">
      <c r="A21" s="1051"/>
      <c r="B21" s="1051"/>
      <c r="C21" s="1051"/>
      <c r="D21" s="1051"/>
      <c r="E21" s="1051"/>
      <c r="F21" s="1051"/>
      <c r="G21" s="1051"/>
      <c r="H21" s="1051"/>
      <c r="I21" s="1051"/>
      <c r="J21" s="1051"/>
      <c r="K21" s="1051"/>
      <c r="L21" s="1051"/>
      <c r="M21" s="1051"/>
      <c r="N21" s="1051"/>
      <c r="O21" s="1051"/>
      <c r="P21" s="1051"/>
      <c r="Q21" s="1051"/>
      <c r="R21" s="1051"/>
      <c r="S21" s="1051"/>
      <c r="T21" s="1051"/>
      <c r="U21" s="1051"/>
      <c r="V21" s="1051"/>
      <c r="W21" s="1051"/>
      <c r="X21" s="1051"/>
      <c r="Y21" s="1051"/>
      <c r="Z21" s="1051"/>
      <c r="AA21" s="1051"/>
      <c r="AB21" s="1051"/>
      <c r="AC21" s="1051"/>
      <c r="AD21" s="1051"/>
      <c r="AE21" s="1051"/>
      <c r="AF21" s="1051"/>
      <c r="AG21" s="1051"/>
      <c r="AH21" s="1051"/>
      <c r="AI21" s="1051"/>
      <c r="AJ21" s="1051"/>
      <c r="AK21" s="1051"/>
      <c r="AL21" s="1051"/>
      <c r="AM21" s="1051"/>
      <c r="AN21" s="1051"/>
      <c r="AO21" s="1051"/>
      <c r="AP21" s="1051"/>
      <c r="AQ21" s="1051"/>
      <c r="AR21" s="1051"/>
      <c r="AS21" s="1051"/>
      <c r="AT21" s="1051"/>
      <c r="AU21" s="1051"/>
      <c r="AV21" s="1051"/>
      <c r="AW21" s="1051"/>
      <c r="AX21" s="1051"/>
      <c r="AY21" s="1051"/>
      <c r="AZ21" s="1051"/>
      <c r="BA21" s="1051"/>
      <c r="BB21" s="1051"/>
      <c r="BC21" s="1051"/>
      <c r="BD21" s="1051"/>
      <c r="BE21" s="1051"/>
      <c r="BF21" s="1051"/>
    </row>
    <row r="22" spans="1:58" x14ac:dyDescent="0.2">
      <c r="A22" s="1051"/>
      <c r="B22" s="1051"/>
      <c r="C22" s="1051"/>
      <c r="D22" s="1051"/>
      <c r="E22" s="1051"/>
      <c r="F22" s="1051"/>
      <c r="G22" s="1051"/>
      <c r="H22" s="1051"/>
      <c r="I22" s="1051"/>
      <c r="J22" s="1051"/>
      <c r="K22" s="1051"/>
      <c r="L22" s="1051"/>
      <c r="M22" s="1051"/>
      <c r="N22" s="1051"/>
      <c r="O22" s="1051"/>
      <c r="P22" s="1051"/>
      <c r="Q22" s="1051"/>
      <c r="R22" s="1051"/>
      <c r="S22" s="1051"/>
      <c r="T22" s="1051"/>
      <c r="U22" s="1051"/>
      <c r="V22" s="1051"/>
      <c r="W22" s="1051"/>
      <c r="X22" s="1051"/>
      <c r="Y22" s="1051"/>
      <c r="Z22" s="1051"/>
      <c r="AA22" s="1051"/>
      <c r="AB22" s="1051"/>
      <c r="AC22" s="1051"/>
      <c r="AD22" s="1051"/>
      <c r="AE22" s="1051"/>
      <c r="AF22" s="1051"/>
      <c r="AG22" s="1051"/>
      <c r="AH22" s="1051"/>
      <c r="AI22" s="1051"/>
      <c r="AJ22" s="1051"/>
      <c r="AK22" s="1051"/>
      <c r="AL22" s="1051"/>
      <c r="AM22" s="1051"/>
      <c r="AN22" s="1051"/>
      <c r="AO22" s="1051"/>
      <c r="AP22" s="1051"/>
      <c r="AQ22" s="1051"/>
      <c r="AR22" s="1051"/>
      <c r="AS22" s="1051"/>
      <c r="AT22" s="1051"/>
      <c r="AU22" s="1051"/>
      <c r="AV22" s="1051"/>
      <c r="AW22" s="1051"/>
      <c r="AX22" s="1051"/>
      <c r="AY22" s="1051"/>
      <c r="AZ22" s="1051"/>
      <c r="BA22" s="1051"/>
      <c r="BB22" s="1051"/>
      <c r="BC22" s="1051"/>
      <c r="BD22" s="1051"/>
      <c r="BE22" s="1051"/>
      <c r="BF22" s="1051"/>
    </row>
    <row r="23" spans="1:58" x14ac:dyDescent="0.2">
      <c r="A23" s="1051"/>
      <c r="B23" s="1051"/>
      <c r="C23" s="1051"/>
      <c r="D23" s="1051"/>
      <c r="E23" s="1051"/>
      <c r="F23" s="1051"/>
      <c r="G23" s="1051"/>
      <c r="H23" s="1051"/>
      <c r="I23" s="1051"/>
      <c r="J23" s="1051"/>
      <c r="K23" s="1051"/>
      <c r="L23" s="1051"/>
      <c r="M23" s="1051"/>
      <c r="N23" s="1051"/>
      <c r="O23" s="1051"/>
      <c r="P23" s="1051"/>
      <c r="Q23" s="1051"/>
      <c r="R23" s="1051"/>
      <c r="S23" s="1051"/>
      <c r="T23" s="1051"/>
      <c r="U23" s="1051"/>
      <c r="V23" s="1051"/>
      <c r="W23" s="1051"/>
      <c r="X23" s="1051"/>
      <c r="Y23" s="1051"/>
      <c r="Z23" s="1051"/>
      <c r="AA23" s="1051"/>
      <c r="AB23" s="1051"/>
      <c r="AC23" s="1051"/>
      <c r="AD23" s="1051"/>
      <c r="AE23" s="1051"/>
      <c r="AF23" s="1051"/>
      <c r="AG23" s="1051"/>
      <c r="AH23" s="1051"/>
      <c r="AI23" s="1051"/>
      <c r="AJ23" s="1051"/>
      <c r="AK23" s="1051"/>
      <c r="AL23" s="1051"/>
      <c r="AM23" s="1051"/>
      <c r="AN23" s="1051"/>
      <c r="AO23" s="1051"/>
      <c r="AP23" s="1051"/>
      <c r="AQ23" s="1051"/>
      <c r="AR23" s="1051"/>
      <c r="AS23" s="1051"/>
      <c r="AT23" s="1051"/>
      <c r="AU23" s="1051"/>
      <c r="AV23" s="1051"/>
      <c r="AW23" s="1051"/>
      <c r="AX23" s="1051"/>
      <c r="AY23" s="1051"/>
      <c r="AZ23" s="1051"/>
      <c r="BA23" s="1051"/>
      <c r="BB23" s="1051"/>
      <c r="BC23" s="1051"/>
      <c r="BD23" s="1051"/>
      <c r="BE23" s="1051"/>
      <c r="BF23" s="1051"/>
    </row>
    <row r="24" spans="1:58" x14ac:dyDescent="0.2">
      <c r="A24" s="1051"/>
      <c r="B24" s="1051"/>
      <c r="C24" s="1051"/>
      <c r="D24" s="1051"/>
      <c r="E24" s="1051"/>
      <c r="F24" s="1051"/>
      <c r="G24" s="1051"/>
      <c r="H24" s="1051"/>
      <c r="I24" s="1051"/>
      <c r="J24" s="1051"/>
      <c r="K24" s="1051"/>
      <c r="L24" s="1051"/>
      <c r="M24" s="1051"/>
      <c r="N24" s="1051"/>
      <c r="O24" s="1051"/>
      <c r="P24" s="1051"/>
      <c r="Q24" s="1051"/>
      <c r="R24" s="1051"/>
      <c r="S24" s="1051"/>
      <c r="T24" s="1051"/>
      <c r="U24" s="1051"/>
      <c r="V24" s="1051"/>
      <c r="W24" s="1051"/>
      <c r="X24" s="1051"/>
      <c r="Y24" s="1051"/>
      <c r="Z24" s="1051"/>
      <c r="AA24" s="1051"/>
      <c r="AB24" s="1051"/>
      <c r="AC24" s="1051"/>
      <c r="AD24" s="1051"/>
      <c r="AE24" s="1051"/>
      <c r="AF24" s="1051"/>
      <c r="AG24" s="1051"/>
      <c r="AH24" s="1051"/>
      <c r="AI24" s="1051"/>
      <c r="AJ24" s="1051"/>
      <c r="AK24" s="1051"/>
      <c r="AL24" s="1051"/>
      <c r="AM24" s="1051"/>
      <c r="AN24" s="1051"/>
      <c r="AO24" s="1051"/>
      <c r="AP24" s="1051"/>
      <c r="AQ24" s="1051"/>
      <c r="AR24" s="1051"/>
      <c r="AS24" s="1051"/>
      <c r="AT24" s="1051"/>
      <c r="AU24" s="1051"/>
      <c r="AV24" s="1051"/>
      <c r="AW24" s="1051"/>
      <c r="AX24" s="1051"/>
      <c r="AY24" s="1051"/>
      <c r="AZ24" s="1051"/>
      <c r="BA24" s="1051"/>
      <c r="BB24" s="1051"/>
      <c r="BC24" s="1051"/>
      <c r="BD24" s="1051"/>
      <c r="BE24" s="1051"/>
      <c r="BF24" s="1051"/>
    </row>
    <row r="25" spans="1:58" x14ac:dyDescent="0.2">
      <c r="A25" s="1051"/>
      <c r="B25" s="1051"/>
      <c r="C25" s="1051"/>
      <c r="D25" s="1051"/>
      <c r="E25" s="1051"/>
      <c r="F25" s="1051"/>
      <c r="G25" s="1051"/>
      <c r="H25" s="1051"/>
      <c r="I25" s="1051"/>
      <c r="J25" s="1051"/>
      <c r="K25" s="1051"/>
      <c r="L25" s="1051"/>
      <c r="M25" s="1051"/>
      <c r="N25" s="1051"/>
      <c r="O25" s="1051"/>
      <c r="P25" s="1051"/>
      <c r="Q25" s="1051"/>
      <c r="R25" s="1051"/>
      <c r="S25" s="1051"/>
      <c r="T25" s="1051"/>
      <c r="U25" s="1051"/>
      <c r="V25" s="1051"/>
      <c r="W25" s="1051"/>
      <c r="X25" s="1051"/>
      <c r="Y25" s="1051"/>
      <c r="Z25" s="1051"/>
      <c r="AA25" s="1051"/>
      <c r="AB25" s="1051"/>
      <c r="AC25" s="1051"/>
      <c r="AD25" s="1051"/>
      <c r="AE25" s="1051"/>
      <c r="AF25" s="1051"/>
      <c r="AG25" s="1051"/>
      <c r="AH25" s="1051"/>
      <c r="AI25" s="1051"/>
      <c r="AJ25" s="1051"/>
      <c r="AK25" s="1051"/>
      <c r="AL25" s="1051"/>
      <c r="AM25" s="1051"/>
      <c r="AN25" s="1051"/>
      <c r="AO25" s="1051"/>
      <c r="AP25" s="1051"/>
      <c r="AQ25" s="1051"/>
      <c r="AR25" s="1051"/>
      <c r="AS25" s="1051"/>
      <c r="AT25" s="1051"/>
      <c r="AU25" s="1051"/>
      <c r="AV25" s="1051"/>
      <c r="AW25" s="1051"/>
      <c r="AX25" s="1051"/>
      <c r="AY25" s="1051"/>
      <c r="AZ25" s="1051"/>
      <c r="BA25" s="1051"/>
      <c r="BB25" s="1051"/>
      <c r="BC25" s="1051"/>
      <c r="BD25" s="1051"/>
      <c r="BE25" s="1051"/>
      <c r="BF25" s="1051"/>
    </row>
    <row r="26" spans="1:58" x14ac:dyDescent="0.2">
      <c r="A26" s="1051"/>
      <c r="B26" s="1051"/>
      <c r="C26" s="1051"/>
      <c r="D26" s="1051"/>
      <c r="E26" s="1051"/>
      <c r="F26" s="1051"/>
      <c r="G26" s="1051"/>
      <c r="H26" s="1051"/>
      <c r="I26" s="1051"/>
      <c r="J26" s="1051"/>
      <c r="K26" s="1051"/>
      <c r="L26" s="1051"/>
      <c r="M26" s="1051"/>
      <c r="N26" s="1051"/>
      <c r="O26" s="1051"/>
      <c r="P26" s="1051"/>
      <c r="Q26" s="1051"/>
      <c r="R26" s="1051"/>
      <c r="S26" s="1051"/>
      <c r="T26" s="1051"/>
      <c r="U26" s="1051"/>
      <c r="V26" s="1051"/>
      <c r="W26" s="1051"/>
      <c r="X26" s="1051"/>
      <c r="Y26" s="1051"/>
      <c r="Z26" s="1051"/>
      <c r="AA26" s="1051"/>
      <c r="AB26" s="1051"/>
      <c r="AC26" s="1051"/>
      <c r="AD26" s="1051"/>
      <c r="AE26" s="1051"/>
      <c r="AF26" s="1051"/>
      <c r="AG26" s="1051"/>
      <c r="AH26" s="1051"/>
      <c r="AI26" s="1051"/>
      <c r="AJ26" s="1051"/>
      <c r="AK26" s="1051"/>
      <c r="AL26" s="1051"/>
      <c r="AM26" s="1051"/>
      <c r="AN26" s="1051"/>
      <c r="AO26" s="1051"/>
      <c r="AP26" s="1051"/>
      <c r="AQ26" s="1051"/>
      <c r="AR26" s="1051"/>
      <c r="AS26" s="1051"/>
      <c r="AT26" s="1051"/>
      <c r="AU26" s="1051"/>
      <c r="AV26" s="1051"/>
      <c r="AW26" s="1051"/>
      <c r="AX26" s="1051"/>
      <c r="AY26" s="1051"/>
      <c r="AZ26" s="1051"/>
      <c r="BA26" s="1051"/>
      <c r="BB26" s="1051"/>
      <c r="BC26" s="1051"/>
      <c r="BD26" s="1051"/>
      <c r="BE26" s="1051"/>
      <c r="BF26" s="1051"/>
    </row>
    <row r="27" spans="1:58" x14ac:dyDescent="0.2">
      <c r="A27" s="1051"/>
      <c r="B27" s="1051"/>
      <c r="C27" s="1051"/>
      <c r="D27" s="1051"/>
      <c r="E27" s="1051"/>
      <c r="F27" s="1051"/>
      <c r="G27" s="1051"/>
      <c r="H27" s="1051"/>
      <c r="I27" s="1051"/>
      <c r="J27" s="1051"/>
      <c r="K27" s="1051"/>
      <c r="L27" s="1051"/>
      <c r="M27" s="1051"/>
      <c r="N27" s="1051"/>
      <c r="O27" s="1051"/>
      <c r="P27" s="1051"/>
      <c r="Q27" s="1051"/>
      <c r="R27" s="1051"/>
      <c r="S27" s="1051"/>
      <c r="T27" s="1051"/>
      <c r="U27" s="1051"/>
      <c r="V27" s="1051"/>
      <c r="W27" s="1051"/>
      <c r="X27" s="1051"/>
      <c r="Y27" s="1051"/>
      <c r="Z27" s="1051"/>
      <c r="AA27" s="1051"/>
      <c r="AB27" s="1051"/>
      <c r="AC27" s="1051"/>
      <c r="AD27" s="1051"/>
      <c r="AE27" s="1051"/>
      <c r="AF27" s="1051"/>
      <c r="AG27" s="1051"/>
      <c r="AH27" s="1051"/>
      <c r="AI27" s="1051"/>
      <c r="AJ27" s="1051"/>
      <c r="AK27" s="1051"/>
      <c r="AL27" s="1051"/>
      <c r="AM27" s="1051"/>
      <c r="AN27" s="1051"/>
      <c r="AO27" s="1051"/>
      <c r="AP27" s="1051"/>
      <c r="AQ27" s="1051"/>
      <c r="AR27" s="1051"/>
      <c r="AS27" s="1051"/>
      <c r="AT27" s="1051"/>
      <c r="AU27" s="1051"/>
      <c r="AV27" s="1051"/>
      <c r="AW27" s="1051"/>
      <c r="AX27" s="1051"/>
      <c r="AY27" s="1051"/>
      <c r="AZ27" s="1051"/>
      <c r="BA27" s="1051"/>
      <c r="BB27" s="1051"/>
      <c r="BC27" s="1051"/>
      <c r="BD27" s="1051"/>
      <c r="BE27" s="1051"/>
      <c r="BF27" s="1051"/>
    </row>
    <row r="28" spans="1:58" x14ac:dyDescent="0.2">
      <c r="A28" s="1051"/>
      <c r="B28" s="1051"/>
      <c r="C28" s="1051"/>
      <c r="D28" s="1051"/>
      <c r="E28" s="1051"/>
      <c r="F28" s="1051"/>
      <c r="G28" s="1051"/>
      <c r="H28" s="1051"/>
      <c r="I28" s="1051"/>
      <c r="J28" s="1051"/>
      <c r="K28" s="1051"/>
      <c r="L28" s="1051"/>
      <c r="M28" s="1051"/>
      <c r="N28" s="1051"/>
      <c r="O28" s="1051"/>
      <c r="P28" s="1051"/>
      <c r="Q28" s="1051"/>
      <c r="R28" s="1051"/>
      <c r="S28" s="1051"/>
      <c r="T28" s="1051"/>
      <c r="U28" s="1051"/>
      <c r="V28" s="1051"/>
      <c r="W28" s="1051"/>
      <c r="X28" s="1051"/>
      <c r="Y28" s="1051"/>
      <c r="Z28" s="1051"/>
      <c r="AA28" s="1051"/>
      <c r="AB28" s="1051"/>
      <c r="AC28" s="1051"/>
      <c r="AD28" s="1051"/>
      <c r="AE28" s="1051"/>
      <c r="AF28" s="1051"/>
      <c r="AG28" s="1051"/>
      <c r="AH28" s="1051"/>
      <c r="AI28" s="1051"/>
      <c r="AJ28" s="1051"/>
      <c r="AK28" s="1051"/>
      <c r="AL28" s="1051"/>
      <c r="AM28" s="1051"/>
      <c r="AN28" s="1051"/>
      <c r="AO28" s="1051"/>
      <c r="AP28" s="1051"/>
      <c r="AQ28" s="1051"/>
      <c r="AR28" s="1051"/>
      <c r="AS28" s="1051"/>
      <c r="AT28" s="1051"/>
      <c r="AU28" s="1051"/>
      <c r="AV28" s="1051"/>
      <c r="AW28" s="1051"/>
      <c r="AX28" s="1051"/>
      <c r="AY28" s="1051"/>
      <c r="AZ28" s="1051"/>
      <c r="BA28" s="1051"/>
      <c r="BB28" s="1051"/>
      <c r="BC28" s="1051"/>
      <c r="BD28" s="1051"/>
      <c r="BE28" s="1051"/>
      <c r="BF28" s="1051"/>
    </row>
    <row r="29" spans="1:58" x14ac:dyDescent="0.2">
      <c r="A29" s="1051"/>
      <c r="B29" s="1051"/>
      <c r="C29" s="1051"/>
      <c r="D29" s="1051"/>
      <c r="E29" s="1051"/>
      <c r="F29" s="1051"/>
      <c r="G29" s="1051"/>
      <c r="H29" s="1051"/>
      <c r="I29" s="1051"/>
      <c r="J29" s="1051"/>
      <c r="K29" s="1051"/>
      <c r="L29" s="1051"/>
      <c r="M29" s="1051"/>
      <c r="N29" s="1051"/>
      <c r="O29" s="1051"/>
      <c r="P29" s="1051"/>
      <c r="Q29" s="1051"/>
      <c r="R29" s="1051"/>
      <c r="S29" s="1051"/>
      <c r="T29" s="1051"/>
      <c r="U29" s="1051"/>
      <c r="V29" s="1051"/>
      <c r="W29" s="1051"/>
      <c r="X29" s="1051"/>
      <c r="Y29" s="1051"/>
      <c r="Z29" s="1051"/>
      <c r="AA29" s="1051"/>
      <c r="AB29" s="1051"/>
      <c r="AC29" s="1051"/>
      <c r="AD29" s="1051"/>
      <c r="AE29" s="1051"/>
      <c r="AF29" s="1051"/>
      <c r="AG29" s="1051"/>
      <c r="AH29" s="1051"/>
      <c r="AI29" s="1051"/>
      <c r="AJ29" s="1051"/>
      <c r="AK29" s="1051"/>
      <c r="AL29" s="1051"/>
      <c r="AM29" s="1051"/>
      <c r="AN29" s="1051"/>
      <c r="AO29" s="1051"/>
      <c r="AP29" s="1051"/>
      <c r="AQ29" s="1051"/>
      <c r="AR29" s="1051"/>
      <c r="AS29" s="1051"/>
      <c r="AT29" s="1051"/>
      <c r="AU29" s="1051"/>
      <c r="AV29" s="1051"/>
      <c r="AW29" s="1051"/>
      <c r="AX29" s="1051"/>
      <c r="AY29" s="1051"/>
      <c r="AZ29" s="1051"/>
      <c r="BA29" s="1051"/>
      <c r="BB29" s="1051"/>
      <c r="BC29" s="1051"/>
      <c r="BD29" s="1051"/>
      <c r="BE29" s="1051"/>
      <c r="BF29" s="1051"/>
    </row>
    <row r="30" spans="1:58" x14ac:dyDescent="0.2">
      <c r="A30" s="1051"/>
      <c r="B30" s="1051"/>
      <c r="C30" s="1051"/>
      <c r="D30" s="1051"/>
      <c r="E30" s="1051"/>
      <c r="F30" s="1051"/>
      <c r="G30" s="1051"/>
      <c r="H30" s="1051"/>
      <c r="I30" s="1051"/>
      <c r="J30" s="1051"/>
      <c r="K30" s="1051"/>
      <c r="L30" s="1051"/>
      <c r="M30" s="1051"/>
      <c r="N30" s="1051"/>
      <c r="O30" s="1051"/>
      <c r="P30" s="1051"/>
      <c r="Q30" s="1051"/>
      <c r="R30" s="1051"/>
      <c r="S30" s="1051"/>
      <c r="T30" s="1051"/>
      <c r="U30" s="1051"/>
      <c r="V30" s="1051"/>
      <c r="W30" s="1051"/>
      <c r="X30" s="1051"/>
      <c r="Y30" s="1051"/>
      <c r="Z30" s="1051"/>
      <c r="AA30" s="1051"/>
      <c r="AB30" s="1051"/>
      <c r="AC30" s="1051"/>
      <c r="AD30" s="1051"/>
      <c r="AE30" s="1051"/>
      <c r="AF30" s="1051"/>
      <c r="AG30" s="1051"/>
      <c r="AH30" s="1051"/>
      <c r="AI30" s="1051"/>
      <c r="AJ30" s="1051"/>
      <c r="AK30" s="1051"/>
      <c r="AL30" s="1051"/>
      <c r="AM30" s="1051"/>
      <c r="AN30" s="1051"/>
      <c r="AO30" s="1051"/>
      <c r="AP30" s="1051"/>
      <c r="AQ30" s="1051"/>
      <c r="AR30" s="1051"/>
      <c r="AS30" s="1051"/>
      <c r="AT30" s="1051"/>
      <c r="AU30" s="1051"/>
      <c r="AV30" s="1051"/>
      <c r="AW30" s="1051"/>
      <c r="AX30" s="1051"/>
      <c r="AY30" s="1051"/>
      <c r="AZ30" s="1051"/>
      <c r="BA30" s="1051"/>
      <c r="BB30" s="1051"/>
      <c r="BC30" s="1051"/>
      <c r="BD30" s="1051"/>
      <c r="BE30" s="1051"/>
      <c r="BF30" s="1051"/>
    </row>
    <row r="31" spans="1:58" x14ac:dyDescent="0.2">
      <c r="A31" s="1051"/>
      <c r="B31" s="1051"/>
      <c r="C31" s="1051"/>
      <c r="D31" s="1051"/>
      <c r="E31" s="1051"/>
      <c r="F31" s="1051"/>
      <c r="G31" s="1051"/>
      <c r="H31" s="1051"/>
      <c r="I31" s="1051"/>
      <c r="J31" s="1051"/>
      <c r="K31" s="1051"/>
      <c r="L31" s="1051"/>
      <c r="M31" s="1051"/>
      <c r="N31" s="1051"/>
      <c r="O31" s="1051"/>
      <c r="P31" s="1051"/>
      <c r="Q31" s="1051"/>
      <c r="R31" s="1051"/>
      <c r="S31" s="1051"/>
      <c r="T31" s="1051"/>
      <c r="U31" s="1051"/>
      <c r="V31" s="1051"/>
      <c r="W31" s="1051"/>
      <c r="X31" s="1051"/>
      <c r="Y31" s="1051"/>
      <c r="Z31" s="1051"/>
      <c r="AA31" s="1051"/>
      <c r="AB31" s="1051"/>
      <c r="AC31" s="1051"/>
      <c r="AD31" s="1051"/>
      <c r="AE31" s="1051"/>
      <c r="AF31" s="1051"/>
      <c r="AG31" s="1051"/>
      <c r="AH31" s="1051"/>
      <c r="AI31" s="1051"/>
      <c r="AJ31" s="1051"/>
      <c r="AK31" s="1051"/>
      <c r="AL31" s="1051"/>
      <c r="AM31" s="1051"/>
      <c r="AN31" s="1051"/>
      <c r="AO31" s="1051"/>
      <c r="AP31" s="1051"/>
      <c r="AQ31" s="1051"/>
      <c r="AR31" s="1051"/>
      <c r="AS31" s="1051"/>
      <c r="AT31" s="1051"/>
      <c r="AU31" s="1051"/>
      <c r="AV31" s="1051"/>
      <c r="AW31" s="1051"/>
      <c r="AX31" s="1051"/>
      <c r="AY31" s="1051"/>
      <c r="AZ31" s="1051"/>
      <c r="BA31" s="1051"/>
      <c r="BB31" s="1051"/>
      <c r="BC31" s="1051"/>
      <c r="BD31" s="1051"/>
      <c r="BE31" s="1051"/>
      <c r="BF31" s="1051"/>
    </row>
    <row r="32" spans="1:58" x14ac:dyDescent="0.2">
      <c r="A32" s="1051"/>
      <c r="B32" s="1051"/>
      <c r="C32" s="1051"/>
      <c r="D32" s="1051"/>
      <c r="E32" s="1051"/>
      <c r="F32" s="1051"/>
      <c r="G32" s="1051"/>
      <c r="H32" s="1051"/>
      <c r="I32" s="1051"/>
      <c r="J32" s="1051"/>
      <c r="K32" s="1051"/>
      <c r="L32" s="1051"/>
      <c r="M32" s="1051"/>
      <c r="N32" s="1051"/>
      <c r="O32" s="1051"/>
      <c r="P32" s="1051"/>
      <c r="Q32" s="1051"/>
      <c r="R32" s="1051"/>
      <c r="S32" s="1051"/>
      <c r="T32" s="1051"/>
      <c r="U32" s="1051"/>
      <c r="V32" s="1051"/>
      <c r="W32" s="1051"/>
      <c r="X32" s="1051"/>
      <c r="Y32" s="1051"/>
      <c r="Z32" s="1051"/>
      <c r="AA32" s="1051"/>
      <c r="AB32" s="1051"/>
      <c r="AC32" s="1051"/>
      <c r="AD32" s="1051"/>
      <c r="AE32" s="1051"/>
      <c r="AF32" s="1051"/>
      <c r="AG32" s="1051"/>
      <c r="AH32" s="1051"/>
      <c r="AI32" s="1051"/>
      <c r="AJ32" s="1051"/>
      <c r="AK32" s="1051"/>
      <c r="AL32" s="1051"/>
      <c r="AM32" s="1051"/>
      <c r="AN32" s="1051"/>
      <c r="AO32" s="1051"/>
      <c r="AP32" s="1051"/>
      <c r="AQ32" s="1051"/>
      <c r="AR32" s="1051"/>
      <c r="AS32" s="1051"/>
      <c r="AT32" s="1051"/>
      <c r="AU32" s="1051"/>
      <c r="AV32" s="1051"/>
      <c r="AW32" s="1051"/>
      <c r="AX32" s="1051"/>
      <c r="AY32" s="1051"/>
      <c r="AZ32" s="1051"/>
      <c r="BA32" s="1051"/>
      <c r="BB32" s="1051"/>
      <c r="BC32" s="1051"/>
      <c r="BD32" s="1051"/>
      <c r="BE32" s="1051"/>
      <c r="BF32" s="1051"/>
    </row>
    <row r="33" spans="1:58" x14ac:dyDescent="0.2">
      <c r="A33" s="1051"/>
      <c r="B33" s="1051"/>
      <c r="C33" s="1051"/>
      <c r="D33" s="1051"/>
      <c r="E33" s="1051"/>
      <c r="F33" s="1051"/>
      <c r="G33" s="1051"/>
      <c r="H33" s="1051"/>
      <c r="I33" s="1051"/>
      <c r="J33" s="1051"/>
      <c r="K33" s="1051"/>
      <c r="L33" s="1051"/>
      <c r="M33" s="1051"/>
      <c r="N33" s="1051"/>
      <c r="O33" s="1051"/>
      <c r="P33" s="1051"/>
      <c r="Q33" s="1051"/>
      <c r="R33" s="1051"/>
      <c r="S33" s="1051"/>
      <c r="T33" s="1051"/>
      <c r="U33" s="1051"/>
      <c r="V33" s="1051"/>
      <c r="W33" s="1051"/>
      <c r="X33" s="1051"/>
      <c r="Y33" s="1051"/>
      <c r="Z33" s="1051"/>
      <c r="AA33" s="1051"/>
      <c r="AB33" s="1051"/>
      <c r="AC33" s="1051"/>
      <c r="AD33" s="1051"/>
      <c r="AE33" s="1051"/>
      <c r="AF33" s="1051"/>
      <c r="AG33" s="1051"/>
      <c r="AH33" s="1051"/>
      <c r="AI33" s="1051"/>
      <c r="AJ33" s="1051"/>
      <c r="AK33" s="1051"/>
      <c r="AL33" s="1051"/>
      <c r="AM33" s="1051"/>
      <c r="AN33" s="1051"/>
      <c r="AO33" s="1051"/>
      <c r="AP33" s="1051"/>
      <c r="AQ33" s="1051"/>
      <c r="AR33" s="1051"/>
      <c r="AS33" s="1051"/>
      <c r="AT33" s="1051"/>
      <c r="AU33" s="1051"/>
      <c r="AV33" s="1051"/>
      <c r="AW33" s="1051"/>
      <c r="AX33" s="1051"/>
      <c r="AY33" s="1051"/>
      <c r="AZ33" s="1051"/>
      <c r="BA33" s="1051"/>
      <c r="BB33" s="1051"/>
      <c r="BC33" s="1051"/>
      <c r="BD33" s="1051"/>
      <c r="BE33" s="1051"/>
      <c r="BF33" s="1051"/>
    </row>
    <row r="34" spans="1:58" x14ac:dyDescent="0.2">
      <c r="A34" s="1051"/>
      <c r="B34" s="1051"/>
      <c r="C34" s="1051"/>
      <c r="D34" s="1051"/>
      <c r="E34" s="1051"/>
      <c r="F34" s="1051"/>
      <c r="G34" s="1051"/>
      <c r="H34" s="1051"/>
      <c r="I34" s="1051"/>
      <c r="J34" s="1051"/>
      <c r="K34" s="1051"/>
      <c r="L34" s="1051"/>
      <c r="M34" s="1051"/>
      <c r="N34" s="1051"/>
      <c r="O34" s="1051"/>
      <c r="P34" s="1051"/>
      <c r="Q34" s="1051"/>
      <c r="R34" s="1051"/>
      <c r="S34" s="1051"/>
      <c r="T34" s="1051"/>
      <c r="U34" s="1051"/>
      <c r="V34" s="1051"/>
      <c r="W34" s="1051"/>
      <c r="X34" s="1051"/>
      <c r="Y34" s="1051"/>
      <c r="Z34" s="1051"/>
      <c r="AA34" s="1051"/>
      <c r="AB34" s="1051"/>
      <c r="AC34" s="1051"/>
      <c r="AD34" s="1051"/>
      <c r="AE34" s="1051"/>
      <c r="AF34" s="1051"/>
      <c r="AG34" s="1051"/>
      <c r="AH34" s="1051"/>
      <c r="AI34" s="1051"/>
      <c r="AJ34" s="1051"/>
      <c r="AK34" s="1051"/>
      <c r="AL34" s="1051"/>
      <c r="AM34" s="1051"/>
      <c r="AN34" s="1051"/>
      <c r="AO34" s="1051"/>
      <c r="AP34" s="1051"/>
      <c r="AQ34" s="1051"/>
      <c r="AR34" s="1051"/>
      <c r="AS34" s="1051"/>
      <c r="AT34" s="1051"/>
      <c r="AU34" s="1051"/>
      <c r="AV34" s="1051"/>
      <c r="AW34" s="1051"/>
      <c r="AX34" s="1051"/>
      <c r="AY34" s="1051"/>
      <c r="AZ34" s="1051"/>
      <c r="BA34" s="1051"/>
      <c r="BB34" s="1051"/>
      <c r="BC34" s="1051"/>
      <c r="BD34" s="1051"/>
      <c r="BE34" s="1051"/>
      <c r="BF34" s="1051"/>
    </row>
    <row r="35" spans="1:58" x14ac:dyDescent="0.2">
      <c r="A35" s="1051"/>
      <c r="B35" s="1051"/>
      <c r="C35" s="1051"/>
      <c r="D35" s="1051"/>
      <c r="E35" s="1051"/>
      <c r="F35" s="1051"/>
      <c r="G35" s="1051"/>
      <c r="H35" s="1051"/>
      <c r="I35" s="1051"/>
      <c r="J35" s="1051"/>
      <c r="K35" s="1051"/>
      <c r="L35" s="1051"/>
      <c r="M35" s="1051"/>
      <c r="N35" s="1051"/>
      <c r="O35" s="1051"/>
      <c r="P35" s="1051"/>
      <c r="Q35" s="1051"/>
      <c r="R35" s="1051"/>
      <c r="S35" s="1051"/>
      <c r="T35" s="1051"/>
      <c r="U35" s="1051"/>
      <c r="V35" s="1051"/>
      <c r="W35" s="1051"/>
      <c r="X35" s="1051"/>
      <c r="Y35" s="1051"/>
      <c r="Z35" s="1051"/>
      <c r="AA35" s="1051"/>
      <c r="AB35" s="1051"/>
      <c r="AC35" s="1051"/>
      <c r="AD35" s="1051"/>
      <c r="AE35" s="1051"/>
      <c r="AF35" s="1051"/>
      <c r="AG35" s="1051"/>
      <c r="AH35" s="1051"/>
      <c r="AI35" s="1051"/>
      <c r="AJ35" s="1051"/>
      <c r="AK35" s="1051"/>
      <c r="AL35" s="1051"/>
      <c r="AM35" s="1051"/>
      <c r="AN35" s="1051"/>
      <c r="AO35" s="1051"/>
      <c r="AP35" s="1051"/>
      <c r="AQ35" s="1051"/>
      <c r="AR35" s="1051"/>
      <c r="AS35" s="1051"/>
      <c r="AT35" s="1051"/>
      <c r="AU35" s="1051"/>
      <c r="AV35" s="1051"/>
      <c r="AW35" s="1051"/>
      <c r="AX35" s="1051"/>
      <c r="AY35" s="1051"/>
      <c r="AZ35" s="1051"/>
      <c r="BA35" s="1051"/>
      <c r="BB35" s="1051"/>
      <c r="BC35" s="1051"/>
      <c r="BD35" s="1051"/>
      <c r="BE35" s="1051"/>
      <c r="BF35" s="1051"/>
    </row>
    <row r="36" spans="1:58" x14ac:dyDescent="0.2">
      <c r="A36" s="1051"/>
      <c r="B36" s="1051"/>
      <c r="C36" s="1051"/>
      <c r="D36" s="1051"/>
      <c r="E36" s="1051"/>
      <c r="F36" s="1051"/>
      <c r="G36" s="1051"/>
      <c r="H36" s="1051"/>
      <c r="I36" s="1051"/>
      <c r="J36" s="1051"/>
      <c r="K36" s="1051"/>
      <c r="L36" s="1051"/>
      <c r="M36" s="1051"/>
      <c r="N36" s="1051"/>
      <c r="O36" s="1051"/>
      <c r="P36" s="1051"/>
      <c r="Q36" s="1051"/>
      <c r="R36" s="1051"/>
      <c r="S36" s="1051"/>
      <c r="T36" s="1051"/>
      <c r="U36" s="1051"/>
      <c r="V36" s="1051"/>
      <c r="W36" s="1051"/>
      <c r="X36" s="1051"/>
      <c r="Y36" s="1051"/>
      <c r="Z36" s="1051"/>
      <c r="AA36" s="1051"/>
      <c r="AB36" s="1051"/>
      <c r="AC36" s="1051"/>
      <c r="AD36" s="1051"/>
      <c r="AE36" s="1051"/>
      <c r="AF36" s="1051"/>
      <c r="AG36" s="1051"/>
      <c r="AH36" s="1051"/>
      <c r="AI36" s="1051"/>
      <c r="AJ36" s="1051"/>
      <c r="AK36" s="1051"/>
      <c r="AL36" s="1051"/>
      <c r="AM36" s="1051"/>
      <c r="AN36" s="1051"/>
      <c r="AO36" s="1051"/>
      <c r="AP36" s="1051"/>
      <c r="AQ36" s="1051"/>
      <c r="AR36" s="1051"/>
      <c r="AS36" s="1051"/>
      <c r="AT36" s="1051"/>
      <c r="AU36" s="1051"/>
      <c r="AV36" s="1051"/>
      <c r="AW36" s="1051"/>
      <c r="AX36" s="1051"/>
      <c r="AY36" s="1051"/>
      <c r="AZ36" s="1051"/>
      <c r="BA36" s="1051"/>
      <c r="BB36" s="1051"/>
      <c r="BC36" s="1051"/>
      <c r="BD36" s="1051"/>
      <c r="BE36" s="1051"/>
      <c r="BF36" s="1051"/>
    </row>
    <row r="37" spans="1:58" x14ac:dyDescent="0.2">
      <c r="A37" s="1051"/>
      <c r="B37" s="1051"/>
      <c r="C37" s="1051"/>
      <c r="D37" s="1051"/>
      <c r="E37" s="1051"/>
      <c r="F37" s="1051"/>
      <c r="G37" s="1051"/>
      <c r="H37" s="1051"/>
      <c r="I37" s="1051"/>
      <c r="J37" s="1051"/>
      <c r="K37" s="1051"/>
      <c r="L37" s="1051"/>
      <c r="M37" s="1051"/>
      <c r="N37" s="1051"/>
      <c r="O37" s="1051"/>
      <c r="P37" s="1051"/>
      <c r="Q37" s="1051"/>
      <c r="R37" s="1051"/>
      <c r="S37" s="1051"/>
      <c r="T37" s="1051"/>
      <c r="U37" s="1051"/>
      <c r="V37" s="1051"/>
      <c r="W37" s="1051"/>
      <c r="X37" s="1051"/>
      <c r="Y37" s="1051"/>
      <c r="Z37" s="1051"/>
      <c r="AA37" s="1051"/>
      <c r="AB37" s="1051"/>
      <c r="AC37" s="1051"/>
      <c r="AD37" s="1051"/>
      <c r="AE37" s="1051"/>
      <c r="AF37" s="1051"/>
      <c r="AG37" s="1051"/>
      <c r="AH37" s="1051"/>
      <c r="AI37" s="1051"/>
      <c r="AJ37" s="1051"/>
      <c r="AK37" s="1051"/>
      <c r="AL37" s="1051"/>
      <c r="AM37" s="1051"/>
      <c r="AN37" s="1051"/>
      <c r="AO37" s="1051"/>
      <c r="AP37" s="1051"/>
      <c r="AQ37" s="1051"/>
      <c r="AR37" s="1051"/>
      <c r="AS37" s="1051"/>
      <c r="AT37" s="1051"/>
      <c r="AU37" s="1051"/>
      <c r="AV37" s="1051"/>
      <c r="AW37" s="1051"/>
      <c r="AX37" s="1051"/>
      <c r="AY37" s="1051"/>
      <c r="AZ37" s="1051"/>
      <c r="BA37" s="1051"/>
      <c r="BB37" s="1051"/>
      <c r="BC37" s="1051"/>
      <c r="BD37" s="1051"/>
      <c r="BE37" s="1051"/>
      <c r="BF37" s="1051"/>
    </row>
    <row r="38" spans="1:58" x14ac:dyDescent="0.2">
      <c r="A38" s="1051"/>
      <c r="B38" s="1051"/>
      <c r="C38" s="1051"/>
      <c r="D38" s="1051"/>
      <c r="E38" s="1051"/>
      <c r="F38" s="1051"/>
      <c r="G38" s="1051"/>
      <c r="H38" s="1051"/>
      <c r="I38" s="1051"/>
      <c r="J38" s="1051"/>
      <c r="K38" s="1051"/>
      <c r="L38" s="1051"/>
      <c r="M38" s="1051"/>
      <c r="N38" s="1051"/>
      <c r="O38" s="1051"/>
      <c r="P38" s="1051"/>
      <c r="Q38" s="1051"/>
      <c r="R38" s="1051"/>
      <c r="S38" s="1051"/>
      <c r="T38" s="1051"/>
      <c r="U38" s="1051"/>
      <c r="V38" s="1051"/>
      <c r="W38" s="1051"/>
      <c r="X38" s="1051"/>
      <c r="Y38" s="1051"/>
      <c r="Z38" s="1051"/>
      <c r="AA38" s="1051"/>
      <c r="AB38" s="1051"/>
      <c r="AC38" s="1051"/>
      <c r="AD38" s="1051"/>
      <c r="AE38" s="1051"/>
      <c r="AF38" s="1051"/>
      <c r="AG38" s="1051"/>
      <c r="AH38" s="1051"/>
      <c r="AI38" s="1051"/>
      <c r="AJ38" s="1051"/>
      <c r="AK38" s="1051"/>
      <c r="AL38" s="1051"/>
      <c r="AM38" s="1051"/>
      <c r="AN38" s="1051"/>
      <c r="AO38" s="1051"/>
      <c r="AP38" s="1051"/>
      <c r="AQ38" s="1051"/>
      <c r="AR38" s="1051"/>
      <c r="AS38" s="1051"/>
      <c r="AT38" s="1051"/>
      <c r="AU38" s="1051"/>
      <c r="AV38" s="1051"/>
      <c r="AW38" s="1051"/>
      <c r="AX38" s="1051"/>
      <c r="AY38" s="1051"/>
      <c r="AZ38" s="1051"/>
      <c r="BA38" s="1051"/>
      <c r="BB38" s="1051"/>
      <c r="BC38" s="1051"/>
      <c r="BD38" s="1051"/>
      <c r="BE38" s="1051"/>
      <c r="BF38" s="1051"/>
    </row>
    <row r="39" spans="1:58" x14ac:dyDescent="0.2">
      <c r="A39" s="1051"/>
      <c r="B39" s="1051"/>
      <c r="C39" s="1051"/>
      <c r="D39" s="1051"/>
      <c r="E39" s="1051"/>
      <c r="F39" s="1051"/>
      <c r="G39" s="1051"/>
      <c r="H39" s="1051"/>
      <c r="I39" s="1051"/>
      <c r="J39" s="1051"/>
      <c r="K39" s="1051"/>
      <c r="L39" s="1051"/>
      <c r="M39" s="1051"/>
      <c r="N39" s="1051"/>
      <c r="O39" s="1051"/>
      <c r="P39" s="1051"/>
      <c r="Q39" s="1051"/>
      <c r="R39" s="1051"/>
      <c r="S39" s="1051"/>
      <c r="T39" s="1051"/>
      <c r="U39" s="1051"/>
      <c r="V39" s="1051"/>
      <c r="W39" s="1051"/>
      <c r="X39" s="1051"/>
      <c r="Y39" s="1051"/>
      <c r="Z39" s="1051"/>
      <c r="AA39" s="1051"/>
      <c r="AB39" s="1051"/>
      <c r="AC39" s="1051"/>
      <c r="AD39" s="1051"/>
      <c r="AE39" s="1051"/>
      <c r="AF39" s="1051"/>
      <c r="AG39" s="1051"/>
      <c r="AH39" s="1051"/>
      <c r="AI39" s="1051"/>
      <c r="AJ39" s="1051"/>
      <c r="AK39" s="1051"/>
      <c r="AL39" s="1051"/>
      <c r="AM39" s="1051"/>
      <c r="AN39" s="1051"/>
      <c r="AO39" s="1051"/>
      <c r="AP39" s="1051"/>
      <c r="AQ39" s="1051"/>
      <c r="AR39" s="1051"/>
      <c r="AS39" s="1051"/>
      <c r="AT39" s="1051"/>
      <c r="AU39" s="1051"/>
      <c r="AV39" s="1051"/>
      <c r="AW39" s="1051"/>
      <c r="AX39" s="1051"/>
      <c r="AY39" s="1051"/>
      <c r="AZ39" s="1051"/>
      <c r="BA39" s="1051"/>
      <c r="BB39" s="1051"/>
      <c r="BC39" s="1051"/>
      <c r="BD39" s="1051"/>
      <c r="BE39" s="1051"/>
      <c r="BF39" s="1051"/>
    </row>
    <row r="40" spans="1:58" x14ac:dyDescent="0.2">
      <c r="A40" s="1051"/>
      <c r="B40" s="1051"/>
      <c r="C40" s="1051"/>
      <c r="D40" s="1051"/>
      <c r="E40" s="1051"/>
      <c r="F40" s="1051"/>
      <c r="G40" s="1051"/>
      <c r="H40" s="1051"/>
      <c r="I40" s="1051"/>
      <c r="J40" s="1051"/>
      <c r="K40" s="1051"/>
      <c r="L40" s="1051"/>
      <c r="M40" s="1051"/>
      <c r="N40" s="1051"/>
      <c r="O40" s="1051"/>
      <c r="P40" s="1051"/>
      <c r="Q40" s="1051"/>
      <c r="R40" s="1051"/>
      <c r="S40" s="1051"/>
      <c r="T40" s="1051"/>
      <c r="U40" s="1051"/>
      <c r="V40" s="1051"/>
      <c r="W40" s="1051"/>
      <c r="X40" s="1051"/>
      <c r="Y40" s="1051"/>
      <c r="Z40" s="1051"/>
      <c r="AA40" s="1051"/>
      <c r="AB40" s="1051"/>
      <c r="AC40" s="1051"/>
      <c r="AD40" s="1051"/>
      <c r="AE40" s="1051"/>
      <c r="AF40" s="1051"/>
      <c r="AG40" s="1051"/>
      <c r="AH40" s="1051"/>
      <c r="AI40" s="1051"/>
      <c r="AJ40" s="1051"/>
      <c r="AK40" s="1051"/>
      <c r="AL40" s="1051"/>
      <c r="AM40" s="1051"/>
      <c r="AN40" s="1051"/>
      <c r="AO40" s="1051"/>
      <c r="AP40" s="1051"/>
      <c r="AQ40" s="1051"/>
      <c r="AR40" s="1051"/>
      <c r="AS40" s="1051"/>
      <c r="AT40" s="1051"/>
      <c r="AU40" s="1051"/>
      <c r="AV40" s="1051"/>
      <c r="AW40" s="1051"/>
      <c r="AX40" s="1051"/>
      <c r="AY40" s="1051"/>
      <c r="AZ40" s="1051"/>
      <c r="BA40" s="1051"/>
      <c r="BB40" s="1051"/>
      <c r="BC40" s="1051"/>
      <c r="BD40" s="1051"/>
      <c r="BE40" s="1051"/>
      <c r="BF40" s="1051"/>
    </row>
    <row r="41" spans="1:58" x14ac:dyDescent="0.2">
      <c r="A41" s="1051"/>
      <c r="B41" s="1051"/>
      <c r="C41" s="1051"/>
      <c r="D41" s="1051"/>
      <c r="E41" s="1051"/>
      <c r="F41" s="1051"/>
      <c r="G41" s="1051"/>
      <c r="H41" s="1051"/>
      <c r="I41" s="1051"/>
      <c r="J41" s="1051"/>
      <c r="K41" s="1051"/>
      <c r="L41" s="1051"/>
      <c r="M41" s="1051"/>
      <c r="N41" s="1051"/>
      <c r="O41" s="1051"/>
      <c r="P41" s="1051"/>
      <c r="Q41" s="1051"/>
      <c r="R41" s="1051"/>
      <c r="S41" s="1051"/>
      <c r="T41" s="1051"/>
      <c r="U41" s="1051"/>
      <c r="V41" s="1051"/>
      <c r="W41" s="1051"/>
      <c r="X41" s="1051"/>
      <c r="Y41" s="1051"/>
      <c r="Z41" s="1051"/>
      <c r="AA41" s="1051"/>
      <c r="AB41" s="1051"/>
      <c r="AC41" s="1051"/>
      <c r="AD41" s="1051"/>
      <c r="AE41" s="1051"/>
      <c r="AF41" s="1051"/>
      <c r="AG41" s="1051"/>
      <c r="AH41" s="1051"/>
      <c r="AI41" s="1051"/>
      <c r="AJ41" s="1051"/>
      <c r="AK41" s="1051"/>
      <c r="AL41" s="1051"/>
      <c r="AM41" s="1051"/>
      <c r="AN41" s="1051"/>
      <c r="AO41" s="1051"/>
      <c r="AP41" s="1051"/>
      <c r="AQ41" s="1051"/>
      <c r="AR41" s="1051"/>
      <c r="AS41" s="1051"/>
      <c r="AT41" s="1051"/>
      <c r="AU41" s="1051"/>
      <c r="AV41" s="1051"/>
      <c r="AW41" s="1051"/>
      <c r="AX41" s="1051"/>
      <c r="AY41" s="1051"/>
      <c r="AZ41" s="1051"/>
      <c r="BA41" s="1051"/>
      <c r="BB41" s="1051"/>
      <c r="BC41" s="1051"/>
      <c r="BD41" s="1051"/>
      <c r="BE41" s="1051"/>
      <c r="BF41" s="1051"/>
    </row>
    <row r="42" spans="1:58" x14ac:dyDescent="0.2">
      <c r="A42" s="1051"/>
      <c r="B42" s="1051"/>
      <c r="C42" s="1051"/>
      <c r="D42" s="1051"/>
      <c r="E42" s="1051"/>
      <c r="F42" s="1051"/>
      <c r="G42" s="1051"/>
      <c r="H42" s="1051"/>
      <c r="I42" s="1051"/>
      <c r="J42" s="1051"/>
      <c r="K42" s="1051"/>
      <c r="L42" s="1051"/>
      <c r="M42" s="1051"/>
      <c r="N42" s="1051"/>
      <c r="O42" s="1051"/>
      <c r="P42" s="1051"/>
      <c r="Q42" s="1051"/>
      <c r="R42" s="1051"/>
      <c r="S42" s="1051"/>
      <c r="T42" s="1051"/>
      <c r="U42" s="1051"/>
      <c r="V42" s="1051"/>
      <c r="W42" s="1051"/>
      <c r="X42" s="1051"/>
      <c r="Y42" s="1051"/>
      <c r="Z42" s="1051"/>
      <c r="AA42" s="1051"/>
      <c r="AB42" s="1051"/>
      <c r="AC42" s="1051"/>
      <c r="AD42" s="1051"/>
      <c r="AE42" s="1051"/>
      <c r="AF42" s="1051"/>
      <c r="AG42" s="1051"/>
      <c r="AH42" s="1051"/>
      <c r="AI42" s="1051"/>
      <c r="AJ42" s="1051"/>
      <c r="AK42" s="1051"/>
      <c r="AL42" s="1051"/>
      <c r="AM42" s="1051"/>
      <c r="AN42" s="1051"/>
      <c r="AO42" s="1051"/>
      <c r="AP42" s="1051"/>
      <c r="AQ42" s="1051"/>
      <c r="AR42" s="1051"/>
      <c r="AS42" s="1051"/>
      <c r="AT42" s="1051"/>
      <c r="AU42" s="1051"/>
      <c r="AV42" s="1051"/>
      <c r="AW42" s="1051"/>
      <c r="AX42" s="1051"/>
      <c r="AY42" s="1051"/>
      <c r="AZ42" s="1051"/>
      <c r="BA42" s="1051"/>
      <c r="BB42" s="1051"/>
      <c r="BC42" s="1051"/>
      <c r="BD42" s="1051"/>
      <c r="BE42" s="1051"/>
      <c r="BF42" s="1051"/>
    </row>
    <row r="43" spans="1:58" x14ac:dyDescent="0.2">
      <c r="A43" s="1051"/>
      <c r="B43" s="1051"/>
      <c r="C43" s="1051"/>
      <c r="D43" s="1051"/>
      <c r="E43" s="1051"/>
      <c r="F43" s="1051"/>
      <c r="G43" s="1051"/>
      <c r="H43" s="1051"/>
      <c r="I43" s="1051"/>
      <c r="J43" s="1051"/>
      <c r="K43" s="1051"/>
      <c r="L43" s="1051"/>
      <c r="M43" s="1051"/>
      <c r="N43" s="1051"/>
      <c r="O43" s="1051"/>
      <c r="P43" s="1051"/>
      <c r="Q43" s="1051"/>
      <c r="R43" s="1051"/>
      <c r="S43" s="1051"/>
      <c r="T43" s="1051"/>
      <c r="U43" s="1051"/>
      <c r="V43" s="1051"/>
      <c r="W43" s="1051"/>
      <c r="X43" s="1051"/>
      <c r="Y43" s="1051"/>
      <c r="Z43" s="1051"/>
      <c r="AA43" s="1051"/>
      <c r="AB43" s="1051"/>
      <c r="AC43" s="1051"/>
      <c r="AD43" s="1051"/>
      <c r="AE43" s="1051"/>
      <c r="AF43" s="1051"/>
      <c r="AG43" s="1051"/>
      <c r="AH43" s="1051"/>
      <c r="AI43" s="1051"/>
      <c r="AJ43" s="1051"/>
      <c r="AK43" s="1051"/>
      <c r="AL43" s="1051"/>
      <c r="AM43" s="1051"/>
      <c r="AN43" s="1051"/>
      <c r="AO43" s="1051"/>
      <c r="AP43" s="1051"/>
      <c r="AQ43" s="1051"/>
      <c r="AR43" s="1051"/>
      <c r="AS43" s="1051"/>
      <c r="AT43" s="1051"/>
      <c r="AU43" s="1051"/>
      <c r="AV43" s="1051"/>
      <c r="AW43" s="1051"/>
      <c r="AX43" s="1051"/>
      <c r="AY43" s="1051"/>
      <c r="AZ43" s="1051"/>
      <c r="BA43" s="1051"/>
      <c r="BB43" s="1051"/>
      <c r="BC43" s="1051"/>
      <c r="BD43" s="1051"/>
      <c r="BE43" s="1051"/>
      <c r="BF43" s="1051"/>
    </row>
    <row r="44" spans="1:58" x14ac:dyDescent="0.2">
      <c r="A44" s="1051"/>
      <c r="B44" s="1051"/>
      <c r="C44" s="1051"/>
      <c r="D44" s="1051"/>
      <c r="E44" s="1051"/>
      <c r="F44" s="1051"/>
      <c r="G44" s="1051"/>
      <c r="H44" s="1051"/>
      <c r="I44" s="1051"/>
      <c r="J44" s="1051"/>
      <c r="K44" s="1051"/>
      <c r="L44" s="1051"/>
      <c r="M44" s="1051"/>
      <c r="N44" s="1051"/>
      <c r="O44" s="1051"/>
      <c r="P44" s="1051"/>
      <c r="Q44" s="1051"/>
      <c r="R44" s="1051"/>
      <c r="S44" s="1051"/>
      <c r="T44" s="1051"/>
      <c r="U44" s="1051"/>
      <c r="V44" s="1051"/>
      <c r="W44" s="1051"/>
      <c r="X44" s="1051"/>
      <c r="Y44" s="1051"/>
      <c r="Z44" s="1051"/>
      <c r="AA44" s="1051"/>
      <c r="AB44" s="1051"/>
      <c r="AC44" s="1051"/>
      <c r="AD44" s="1051"/>
      <c r="AE44" s="1051"/>
      <c r="AF44" s="1051"/>
      <c r="AG44" s="1051"/>
      <c r="AH44" s="1051"/>
      <c r="AI44" s="1051"/>
      <c r="AJ44" s="1051"/>
      <c r="AK44" s="1051"/>
      <c r="AL44" s="1051"/>
      <c r="AM44" s="1051"/>
      <c r="AN44" s="1051"/>
      <c r="AO44" s="1051"/>
      <c r="AP44" s="1051"/>
      <c r="AQ44" s="1051"/>
      <c r="AR44" s="1051"/>
      <c r="AS44" s="1051"/>
      <c r="AT44" s="1051"/>
      <c r="AU44" s="1051"/>
      <c r="AV44" s="1051"/>
      <c r="AW44" s="1051"/>
      <c r="AX44" s="1051"/>
      <c r="AY44" s="1051"/>
      <c r="AZ44" s="1051"/>
      <c r="BA44" s="1051"/>
      <c r="BB44" s="1051"/>
      <c r="BC44" s="1051"/>
      <c r="BD44" s="1051"/>
      <c r="BE44" s="1051"/>
      <c r="BF44" s="1051"/>
    </row>
    <row r="45" spans="1:58" x14ac:dyDescent="0.2">
      <c r="A45" s="1051"/>
      <c r="B45" s="1051"/>
      <c r="C45" s="1051"/>
      <c r="D45" s="1051"/>
      <c r="E45" s="1051"/>
      <c r="F45" s="1051"/>
      <c r="G45" s="1051"/>
      <c r="H45" s="1051"/>
      <c r="I45" s="1051"/>
      <c r="J45" s="1051"/>
      <c r="K45" s="1051"/>
      <c r="L45" s="1051"/>
      <c r="M45" s="1051"/>
      <c r="N45" s="1051"/>
      <c r="O45" s="1051"/>
      <c r="P45" s="1051"/>
      <c r="Q45" s="1051"/>
      <c r="R45" s="1051"/>
      <c r="S45" s="1051"/>
      <c r="T45" s="1051"/>
      <c r="U45" s="1051"/>
      <c r="V45" s="1051"/>
      <c r="W45" s="1051"/>
      <c r="X45" s="1051"/>
      <c r="Y45" s="1051"/>
      <c r="Z45" s="1051"/>
      <c r="AA45" s="1051"/>
      <c r="AB45" s="1051"/>
      <c r="AC45" s="1051"/>
      <c r="AD45" s="1051"/>
      <c r="AE45" s="1051"/>
      <c r="AF45" s="1051"/>
      <c r="AG45" s="1051"/>
      <c r="AH45" s="1051"/>
      <c r="AI45" s="1051"/>
      <c r="AJ45" s="1051"/>
      <c r="AK45" s="1051"/>
      <c r="AL45" s="1051"/>
      <c r="AM45" s="1051"/>
      <c r="AN45" s="1051"/>
      <c r="AO45" s="1051"/>
      <c r="AP45" s="1051"/>
      <c r="AQ45" s="1051"/>
      <c r="AR45" s="1051"/>
      <c r="AS45" s="1051"/>
      <c r="AT45" s="1051"/>
      <c r="AU45" s="1051"/>
      <c r="AV45" s="1051"/>
      <c r="AW45" s="1051"/>
      <c r="AX45" s="1051"/>
      <c r="AY45" s="1051"/>
      <c r="AZ45" s="1051"/>
      <c r="BA45" s="1051"/>
      <c r="BB45" s="1051"/>
      <c r="BC45" s="1051"/>
      <c r="BD45" s="1051"/>
      <c r="BE45" s="1051"/>
      <c r="BF45" s="1051"/>
    </row>
    <row r="46" spans="1:58" x14ac:dyDescent="0.2">
      <c r="A46" s="1051"/>
      <c r="B46" s="1051"/>
      <c r="C46" s="1051"/>
      <c r="D46" s="1051"/>
      <c r="E46" s="1051"/>
      <c r="F46" s="1051"/>
      <c r="G46" s="1051"/>
      <c r="H46" s="1051"/>
      <c r="I46" s="1051"/>
      <c r="J46" s="1051"/>
      <c r="K46" s="1051"/>
      <c r="L46" s="1051"/>
      <c r="M46" s="1051"/>
      <c r="N46" s="1051"/>
      <c r="O46" s="1051"/>
      <c r="P46" s="1051"/>
      <c r="Q46" s="1051"/>
      <c r="R46" s="1051"/>
      <c r="S46" s="1051"/>
      <c r="T46" s="1051"/>
      <c r="U46" s="1051"/>
      <c r="V46" s="1051"/>
      <c r="W46" s="1051"/>
      <c r="X46" s="1051"/>
      <c r="Y46" s="1051"/>
      <c r="Z46" s="1051"/>
      <c r="AA46" s="1051"/>
      <c r="AB46" s="1051"/>
      <c r="AC46" s="1051"/>
      <c r="AD46" s="1051"/>
      <c r="AE46" s="1051"/>
      <c r="AF46" s="1051"/>
      <c r="AG46" s="1051"/>
      <c r="AH46" s="1051"/>
      <c r="AI46" s="1051"/>
      <c r="AJ46" s="1051"/>
      <c r="AK46" s="1051"/>
      <c r="AL46" s="1051"/>
      <c r="AM46" s="1051"/>
      <c r="AN46" s="1051"/>
      <c r="AO46" s="1051"/>
      <c r="AP46" s="1051"/>
      <c r="AQ46" s="1051"/>
      <c r="AR46" s="1051"/>
      <c r="AS46" s="1051"/>
      <c r="AT46" s="1051"/>
      <c r="AU46" s="1051"/>
      <c r="AV46" s="1051"/>
      <c r="AW46" s="1051"/>
      <c r="AX46" s="1051"/>
      <c r="AY46" s="1051"/>
      <c r="AZ46" s="1051"/>
      <c r="BA46" s="1051"/>
      <c r="BB46" s="1051"/>
      <c r="BC46" s="1051"/>
      <c r="BD46" s="1051"/>
      <c r="BE46" s="1051"/>
      <c r="BF46" s="1051"/>
    </row>
    <row r="47" spans="1:58" x14ac:dyDescent="0.2">
      <c r="A47" s="1051"/>
      <c r="B47" s="1051"/>
      <c r="C47" s="1051"/>
      <c r="D47" s="1051"/>
      <c r="E47" s="1051"/>
      <c r="F47" s="1051"/>
      <c r="G47" s="1051"/>
      <c r="H47" s="1051"/>
      <c r="I47" s="1051"/>
      <c r="J47" s="1051"/>
      <c r="K47" s="1051"/>
      <c r="L47" s="1051"/>
      <c r="M47" s="1051"/>
      <c r="N47" s="1051"/>
      <c r="O47" s="1051"/>
      <c r="P47" s="1051"/>
      <c r="Q47" s="1051"/>
      <c r="R47" s="1051"/>
      <c r="S47" s="1051"/>
      <c r="T47" s="1051"/>
      <c r="U47" s="1051"/>
      <c r="V47" s="1051"/>
      <c r="W47" s="1051"/>
      <c r="X47" s="1051"/>
      <c r="Y47" s="1051"/>
      <c r="Z47" s="1051"/>
      <c r="AA47" s="1051"/>
      <c r="AB47" s="1051"/>
      <c r="AC47" s="1051"/>
      <c r="AD47" s="1051"/>
      <c r="AE47" s="1051"/>
      <c r="AF47" s="1051"/>
      <c r="AG47" s="1051"/>
      <c r="AH47" s="1051"/>
      <c r="AI47" s="1051"/>
      <c r="AJ47" s="1051"/>
      <c r="AK47" s="1051"/>
      <c r="AL47" s="1051"/>
      <c r="AM47" s="1051"/>
      <c r="AN47" s="1051"/>
      <c r="AO47" s="1051"/>
      <c r="AP47" s="1051"/>
      <c r="AQ47" s="1051"/>
      <c r="AR47" s="1051"/>
      <c r="AS47" s="1051"/>
      <c r="AT47" s="1051"/>
      <c r="AU47" s="1051"/>
      <c r="AV47" s="1051"/>
      <c r="AW47" s="1051"/>
      <c r="AX47" s="1051"/>
      <c r="AY47" s="1051"/>
      <c r="AZ47" s="1051"/>
      <c r="BA47" s="1051"/>
      <c r="BB47" s="1051"/>
      <c r="BC47" s="1051"/>
      <c r="BD47" s="1051"/>
      <c r="BE47" s="1051"/>
      <c r="BF47" s="1051"/>
    </row>
    <row r="48" spans="1:58" x14ac:dyDescent="0.2">
      <c r="A48" s="1051"/>
      <c r="B48" s="1051"/>
      <c r="C48" s="1051"/>
      <c r="D48" s="1051"/>
      <c r="E48" s="1051"/>
      <c r="F48" s="1051"/>
      <c r="G48" s="1051"/>
      <c r="H48" s="1051"/>
      <c r="I48" s="1051"/>
      <c r="J48" s="1051"/>
      <c r="K48" s="1051"/>
      <c r="L48" s="1051"/>
      <c r="M48" s="1051"/>
      <c r="N48" s="1051"/>
      <c r="O48" s="1051"/>
      <c r="P48" s="1051"/>
      <c r="Q48" s="1051"/>
      <c r="R48" s="1051"/>
      <c r="S48" s="1051"/>
      <c r="T48" s="1051"/>
      <c r="U48" s="1051"/>
      <c r="V48" s="1051"/>
      <c r="W48" s="1051"/>
      <c r="X48" s="1051"/>
      <c r="Y48" s="1051"/>
      <c r="Z48" s="1051"/>
      <c r="AA48" s="1051"/>
      <c r="AB48" s="1051"/>
      <c r="AC48" s="1051"/>
      <c r="AD48" s="1051"/>
      <c r="AE48" s="1051"/>
      <c r="AF48" s="1051"/>
      <c r="AG48" s="1051"/>
      <c r="AH48" s="1051"/>
      <c r="AI48" s="1051"/>
      <c r="AJ48" s="1051"/>
      <c r="AK48" s="1051"/>
      <c r="AL48" s="1051"/>
      <c r="AM48" s="1051"/>
      <c r="AN48" s="1051"/>
      <c r="AO48" s="1051"/>
      <c r="AP48" s="1051"/>
      <c r="AQ48" s="1051"/>
      <c r="AR48" s="1051"/>
      <c r="AS48" s="1051"/>
      <c r="AT48" s="1051"/>
      <c r="AU48" s="1051"/>
      <c r="AV48" s="1051"/>
      <c r="AW48" s="1051"/>
      <c r="AX48" s="1051"/>
      <c r="AY48" s="1051"/>
      <c r="AZ48" s="1051"/>
      <c r="BA48" s="1051"/>
      <c r="BB48" s="1051"/>
      <c r="BC48" s="1051"/>
      <c r="BD48" s="1051"/>
      <c r="BE48" s="1051"/>
      <c r="BF48" s="1051"/>
    </row>
    <row r="49" spans="1:58" x14ac:dyDescent="0.2">
      <c r="A49" s="1051"/>
      <c r="B49" s="1051"/>
      <c r="C49" s="1051"/>
      <c r="D49" s="1051"/>
      <c r="E49" s="1051"/>
      <c r="F49" s="1051"/>
      <c r="G49" s="1051"/>
      <c r="H49" s="1051"/>
      <c r="I49" s="1051"/>
      <c r="J49" s="1051"/>
      <c r="K49" s="1051"/>
      <c r="L49" s="1051"/>
      <c r="M49" s="1051"/>
      <c r="N49" s="1051"/>
      <c r="O49" s="1051"/>
      <c r="P49" s="1051"/>
      <c r="Q49" s="1051"/>
      <c r="R49" s="1051"/>
      <c r="S49" s="1051"/>
      <c r="T49" s="1051"/>
      <c r="U49" s="1051"/>
      <c r="V49" s="1051"/>
      <c r="W49" s="1051"/>
      <c r="X49" s="1051"/>
      <c r="Y49" s="1051"/>
      <c r="Z49" s="1051"/>
      <c r="AA49" s="1051"/>
      <c r="AB49" s="1051"/>
      <c r="AC49" s="1051"/>
      <c r="AD49" s="1051"/>
      <c r="AE49" s="1051"/>
      <c r="AF49" s="1051"/>
      <c r="AG49" s="1051"/>
      <c r="AH49" s="1051"/>
      <c r="AI49" s="1051"/>
      <c r="AJ49" s="1051"/>
      <c r="AK49" s="1051"/>
      <c r="AL49" s="1051"/>
      <c r="AM49" s="1051"/>
      <c r="AN49" s="1051"/>
      <c r="AO49" s="1051"/>
      <c r="AP49" s="1051"/>
      <c r="AQ49" s="1051"/>
      <c r="AR49" s="1051"/>
      <c r="AS49" s="1051"/>
      <c r="AT49" s="1051"/>
      <c r="AU49" s="1051"/>
      <c r="AV49" s="1051"/>
      <c r="AW49" s="1051"/>
      <c r="AX49" s="1051"/>
      <c r="AY49" s="1051"/>
      <c r="AZ49" s="1051"/>
      <c r="BA49" s="1051"/>
      <c r="BB49" s="1051"/>
      <c r="BC49" s="1051"/>
      <c r="BD49" s="1051"/>
      <c r="BE49" s="1051"/>
      <c r="BF49" s="1051"/>
    </row>
    <row r="50" spans="1:58" x14ac:dyDescent="0.2">
      <c r="A50" s="1051"/>
      <c r="B50" s="1051"/>
      <c r="C50" s="1051"/>
      <c r="D50" s="1051"/>
      <c r="E50" s="1051"/>
      <c r="F50" s="1051"/>
      <c r="G50" s="1051"/>
      <c r="H50" s="1051"/>
      <c r="I50" s="1051"/>
      <c r="J50" s="1051"/>
      <c r="K50" s="1051"/>
      <c r="L50" s="1051"/>
      <c r="M50" s="1051"/>
      <c r="N50" s="1051"/>
      <c r="O50" s="1051"/>
      <c r="P50" s="1051"/>
      <c r="Q50" s="1051"/>
      <c r="R50" s="1051"/>
      <c r="S50" s="1051"/>
      <c r="T50" s="1051"/>
      <c r="U50" s="1051"/>
      <c r="V50" s="1051"/>
      <c r="W50" s="1051"/>
      <c r="X50" s="1051"/>
      <c r="Y50" s="1051"/>
      <c r="Z50" s="1051"/>
      <c r="AA50" s="1051"/>
      <c r="AB50" s="1051"/>
      <c r="AC50" s="1051"/>
      <c r="AD50" s="1051"/>
      <c r="AE50" s="1051"/>
      <c r="AF50" s="1051"/>
      <c r="AG50" s="1051"/>
      <c r="AH50" s="1051"/>
      <c r="AI50" s="1051"/>
      <c r="AJ50" s="1051"/>
      <c r="AK50" s="1051"/>
      <c r="AL50" s="1051"/>
      <c r="AM50" s="1051"/>
      <c r="AN50" s="1051"/>
      <c r="AO50" s="1051"/>
      <c r="AP50" s="1051"/>
      <c r="AQ50" s="1051"/>
      <c r="AR50" s="1051"/>
      <c r="AS50" s="1051"/>
      <c r="AT50" s="1051"/>
      <c r="AU50" s="1051"/>
      <c r="AV50" s="1051"/>
      <c r="AW50" s="1051"/>
      <c r="AX50" s="1051"/>
      <c r="AY50" s="1051"/>
      <c r="AZ50" s="1051"/>
      <c r="BA50" s="1051"/>
      <c r="BB50" s="1051"/>
      <c r="BC50" s="1051"/>
      <c r="BD50" s="1051"/>
      <c r="BE50" s="1051"/>
      <c r="BF50" s="1051"/>
    </row>
    <row r="51" spans="1:58" x14ac:dyDescent="0.2">
      <c r="A51" s="1051"/>
      <c r="B51" s="1051"/>
      <c r="C51" s="1051"/>
      <c r="D51" s="1051"/>
      <c r="E51" s="1051"/>
      <c r="F51" s="1051"/>
      <c r="G51" s="1051"/>
      <c r="H51" s="1051"/>
      <c r="I51" s="1051"/>
      <c r="J51" s="1051"/>
      <c r="K51" s="1051"/>
      <c r="L51" s="1051"/>
      <c r="M51" s="1051"/>
      <c r="N51" s="1051"/>
      <c r="O51" s="1051"/>
      <c r="P51" s="1051"/>
      <c r="Q51" s="1051"/>
      <c r="R51" s="1051"/>
      <c r="S51" s="1051"/>
      <c r="T51" s="1051"/>
      <c r="U51" s="1051"/>
      <c r="V51" s="1051"/>
      <c r="W51" s="1051"/>
      <c r="X51" s="1051"/>
      <c r="Y51" s="1051"/>
      <c r="Z51" s="1051"/>
      <c r="AA51" s="1051"/>
      <c r="AB51" s="1051"/>
      <c r="AC51" s="1051"/>
      <c r="AD51" s="1051"/>
      <c r="AE51" s="1051"/>
      <c r="AF51" s="1051"/>
      <c r="AG51" s="1051"/>
      <c r="AH51" s="1051"/>
      <c r="AI51" s="1051"/>
      <c r="AJ51" s="1051"/>
      <c r="AK51" s="1051"/>
      <c r="AL51" s="1051"/>
      <c r="AM51" s="1051"/>
      <c r="AN51" s="1051"/>
      <c r="AO51" s="1051"/>
      <c r="AP51" s="1051"/>
      <c r="AQ51" s="1051"/>
      <c r="AR51" s="1051"/>
      <c r="AS51" s="1051"/>
      <c r="AT51" s="1051"/>
      <c r="AU51" s="1051"/>
      <c r="AV51" s="1051"/>
      <c r="AW51" s="1051"/>
      <c r="AX51" s="1051"/>
      <c r="AY51" s="1051"/>
      <c r="AZ51" s="1051"/>
      <c r="BA51" s="1051"/>
      <c r="BB51" s="1051"/>
      <c r="BC51" s="1051"/>
      <c r="BD51" s="1051"/>
      <c r="BE51" s="1051"/>
      <c r="BF51" s="1051"/>
    </row>
    <row r="52" spans="1:58" x14ac:dyDescent="0.2">
      <c r="A52" s="1051"/>
      <c r="B52" s="1051"/>
      <c r="C52" s="1051"/>
      <c r="D52" s="1051"/>
      <c r="E52" s="1051"/>
      <c r="F52" s="1051"/>
      <c r="G52" s="1051"/>
      <c r="H52" s="1051"/>
      <c r="I52" s="1051"/>
      <c r="J52" s="1051"/>
      <c r="K52" s="1051"/>
      <c r="L52" s="1051"/>
      <c r="M52" s="1051"/>
      <c r="N52" s="1051"/>
      <c r="O52" s="1051"/>
      <c r="P52" s="1051"/>
      <c r="Q52" s="1051"/>
      <c r="R52" s="1051"/>
      <c r="S52" s="1051"/>
      <c r="T52" s="1051"/>
      <c r="U52" s="1051"/>
      <c r="V52" s="1051"/>
      <c r="W52" s="1051"/>
      <c r="X52" s="1051"/>
      <c r="Y52" s="1051"/>
      <c r="Z52" s="1051"/>
      <c r="AA52" s="1051"/>
      <c r="AB52" s="1051"/>
      <c r="AC52" s="1051"/>
      <c r="AD52" s="1051"/>
      <c r="AE52" s="1051"/>
      <c r="AF52" s="1051"/>
      <c r="AG52" s="1051"/>
      <c r="AH52" s="1051"/>
      <c r="AI52" s="1051"/>
      <c r="AJ52" s="1051"/>
      <c r="AK52" s="1051"/>
      <c r="AL52" s="1051"/>
      <c r="AM52" s="1051"/>
      <c r="AN52" s="1051"/>
      <c r="AO52" s="1051"/>
      <c r="AP52" s="1051"/>
      <c r="AQ52" s="1051"/>
      <c r="AR52" s="1051"/>
      <c r="AS52" s="1051"/>
      <c r="AT52" s="1051"/>
      <c r="AU52" s="1051"/>
      <c r="AV52" s="1051"/>
      <c r="AW52" s="1051"/>
      <c r="AX52" s="1051"/>
      <c r="AY52" s="1051"/>
      <c r="AZ52" s="1051"/>
      <c r="BA52" s="1051"/>
      <c r="BB52" s="1051"/>
      <c r="BC52" s="1051"/>
      <c r="BD52" s="1051"/>
      <c r="BE52" s="1051"/>
      <c r="BF52" s="1051"/>
    </row>
    <row r="53" spans="1:58" x14ac:dyDescent="0.2">
      <c r="A53" s="1051"/>
      <c r="B53" s="1051"/>
      <c r="C53" s="1051"/>
      <c r="D53" s="1051"/>
      <c r="E53" s="1051"/>
      <c r="F53" s="1051"/>
      <c r="G53" s="1051"/>
      <c r="H53" s="1051"/>
      <c r="I53" s="1051"/>
      <c r="J53" s="1051"/>
      <c r="K53" s="1051"/>
      <c r="L53" s="1051"/>
      <c r="M53" s="1051"/>
      <c r="N53" s="1051"/>
      <c r="O53" s="1051"/>
      <c r="P53" s="1051"/>
      <c r="Q53" s="1051"/>
      <c r="R53" s="1051"/>
      <c r="S53" s="1051"/>
      <c r="T53" s="1051"/>
      <c r="U53" s="1051"/>
      <c r="V53" s="1051"/>
      <c r="W53" s="1051"/>
      <c r="X53" s="1051"/>
      <c r="Y53" s="1051"/>
      <c r="Z53" s="1051"/>
      <c r="AA53" s="1051"/>
      <c r="AB53" s="1051"/>
      <c r="AC53" s="1051"/>
      <c r="AD53" s="1051"/>
      <c r="AE53" s="1051"/>
      <c r="AF53" s="1051"/>
      <c r="AG53" s="1051"/>
      <c r="AH53" s="1051"/>
      <c r="AI53" s="1051"/>
      <c r="AJ53" s="1051"/>
      <c r="AK53" s="1051"/>
      <c r="AL53" s="1051"/>
      <c r="AM53" s="1051"/>
      <c r="AN53" s="1051"/>
      <c r="AO53" s="1051"/>
      <c r="AP53" s="1051"/>
      <c r="AQ53" s="1051"/>
      <c r="AR53" s="1051"/>
      <c r="AS53" s="1051"/>
      <c r="AT53" s="1051"/>
      <c r="AU53" s="1051"/>
      <c r="AV53" s="1051"/>
      <c r="AW53" s="1051"/>
      <c r="AX53" s="1051"/>
      <c r="AY53" s="1051"/>
      <c r="AZ53" s="1051"/>
      <c r="BA53" s="1051"/>
      <c r="BB53" s="1051"/>
      <c r="BC53" s="1051"/>
      <c r="BD53" s="1051"/>
      <c r="BE53" s="1051"/>
      <c r="BF53" s="1051"/>
    </row>
    <row r="54" spans="1:58" ht="15.75" customHeight="1" x14ac:dyDescent="0.2">
      <c r="A54" s="1053" t="s">
        <v>179</v>
      </c>
      <c r="B54" s="1054"/>
      <c r="C54" s="1054"/>
      <c r="D54" s="1054"/>
      <c r="E54" s="1054"/>
      <c r="F54" s="1054"/>
      <c r="G54" s="1054"/>
      <c r="H54" s="1054"/>
      <c r="I54" s="1054"/>
      <c r="J54" s="1054"/>
      <c r="K54" s="1054"/>
      <c r="L54" s="1054"/>
      <c r="M54" s="1054"/>
      <c r="N54" s="1054"/>
      <c r="O54" s="1054"/>
      <c r="P54" s="1054"/>
      <c r="Q54" s="1054"/>
      <c r="R54" s="1054"/>
      <c r="S54" s="1054"/>
      <c r="T54" s="1054"/>
      <c r="U54" s="1054"/>
      <c r="V54" s="1054"/>
      <c r="W54" s="1054"/>
      <c r="X54" s="1054"/>
      <c r="Y54" s="1054"/>
      <c r="Z54" s="1054"/>
      <c r="AA54" s="1054"/>
      <c r="AB54" s="1054"/>
      <c r="AC54" s="1054"/>
      <c r="AD54" s="1054"/>
      <c r="AE54" s="1054"/>
      <c r="AF54" s="1054"/>
      <c r="AG54" s="1054"/>
      <c r="AH54" s="1054"/>
      <c r="AI54" s="1054"/>
      <c r="AJ54" s="1054"/>
      <c r="AK54" s="1054"/>
      <c r="AL54" s="1054"/>
      <c r="AM54" s="1054"/>
      <c r="AN54" s="1054"/>
      <c r="AO54" s="1054"/>
      <c r="AP54" s="1054"/>
      <c r="AQ54" s="1054"/>
      <c r="AR54" s="1054"/>
      <c r="AS54" s="1054"/>
      <c r="AT54" s="1054"/>
      <c r="AU54" s="1054"/>
      <c r="AV54" s="1054"/>
      <c r="AW54" s="1054"/>
      <c r="AX54" s="1054"/>
      <c r="AY54" s="1054"/>
      <c r="AZ54" s="1054"/>
      <c r="BA54" s="1054"/>
      <c r="BB54" s="1054"/>
      <c r="BC54" s="1054"/>
      <c r="BD54" s="1054"/>
      <c r="BE54" s="1054"/>
      <c r="BF54" s="1055"/>
    </row>
    <row r="55" spans="1:58" x14ac:dyDescent="0.2">
      <c r="A55" s="1050"/>
      <c r="B55" s="1050"/>
      <c r="C55" s="1050"/>
      <c r="D55" s="1050"/>
      <c r="E55" s="1050"/>
      <c r="F55" s="1050"/>
      <c r="G55" s="1050"/>
      <c r="H55" s="1050"/>
      <c r="I55" s="1050"/>
      <c r="J55" s="1050"/>
      <c r="K55" s="1050"/>
      <c r="L55" s="1050"/>
      <c r="M55" s="1050"/>
      <c r="N55" s="1050"/>
      <c r="O55" s="1050"/>
      <c r="P55" s="1050"/>
      <c r="Q55" s="1050"/>
      <c r="R55" s="1050"/>
      <c r="S55" s="1050"/>
      <c r="T55" s="1050"/>
      <c r="U55" s="1050"/>
      <c r="V55" s="1050"/>
      <c r="W55" s="1050"/>
      <c r="X55" s="1050"/>
      <c r="Y55" s="1050"/>
      <c r="Z55" s="1050"/>
      <c r="AA55" s="1050"/>
      <c r="AB55" s="1050"/>
      <c r="AC55" s="1050"/>
      <c r="AD55" s="1050"/>
      <c r="AE55" s="1050"/>
      <c r="AF55" s="1050"/>
      <c r="AG55" s="1050"/>
      <c r="AH55" s="1050"/>
      <c r="AI55" s="1050"/>
      <c r="AJ55" s="1050"/>
      <c r="AK55" s="1050"/>
      <c r="AL55" s="1050"/>
      <c r="AM55" s="1050"/>
      <c r="AN55" s="1050"/>
      <c r="AO55" s="1050"/>
      <c r="AP55" s="1050"/>
      <c r="AQ55" s="1050"/>
      <c r="AR55" s="1050"/>
      <c r="AS55" s="1050"/>
      <c r="AT55" s="1050"/>
      <c r="AU55" s="1050"/>
      <c r="AV55" s="1050"/>
      <c r="AW55" s="1050"/>
      <c r="AX55" s="1050"/>
      <c r="AY55" s="1050"/>
      <c r="AZ55" s="1050"/>
      <c r="BA55" s="1050"/>
      <c r="BB55" s="1050"/>
      <c r="BC55" s="1050"/>
      <c r="BD55" s="1050"/>
      <c r="BE55" s="1050"/>
      <c r="BF55" s="1050"/>
    </row>
    <row r="56" spans="1:58" x14ac:dyDescent="0.2">
      <c r="A56" s="1050"/>
      <c r="B56" s="1050"/>
      <c r="C56" s="1050"/>
      <c r="D56" s="1050"/>
      <c r="E56" s="1050"/>
      <c r="F56" s="1050"/>
      <c r="G56" s="1050"/>
      <c r="H56" s="1050"/>
      <c r="I56" s="1050"/>
      <c r="J56" s="1050"/>
      <c r="K56" s="1050"/>
      <c r="L56" s="1050"/>
      <c r="M56" s="1050"/>
      <c r="N56" s="1050"/>
      <c r="O56" s="1050"/>
      <c r="P56" s="1050"/>
      <c r="Q56" s="1050"/>
      <c r="R56" s="1050"/>
      <c r="S56" s="1050"/>
      <c r="T56" s="1050"/>
      <c r="U56" s="1050"/>
      <c r="V56" s="1050"/>
      <c r="W56" s="1050"/>
      <c r="X56" s="1050"/>
      <c r="Y56" s="1050"/>
      <c r="Z56" s="1050"/>
      <c r="AA56" s="1050"/>
      <c r="AB56" s="1050"/>
      <c r="AC56" s="1050"/>
      <c r="AD56" s="1050"/>
      <c r="AE56" s="1050"/>
      <c r="AF56" s="1050"/>
      <c r="AG56" s="1050"/>
      <c r="AH56" s="1050"/>
      <c r="AI56" s="1050"/>
      <c r="AJ56" s="1050"/>
      <c r="AK56" s="1050"/>
      <c r="AL56" s="1050"/>
      <c r="AM56" s="1050"/>
      <c r="AN56" s="1050"/>
      <c r="AO56" s="1050"/>
      <c r="AP56" s="1050"/>
      <c r="AQ56" s="1050"/>
      <c r="AR56" s="1050"/>
      <c r="AS56" s="1050"/>
      <c r="AT56" s="1050"/>
      <c r="AU56" s="1050"/>
      <c r="AV56" s="1050"/>
      <c r="AW56" s="1050"/>
      <c r="AX56" s="1050"/>
      <c r="AY56" s="1050"/>
      <c r="AZ56" s="1050"/>
      <c r="BA56" s="1050"/>
      <c r="BB56" s="1050"/>
      <c r="BC56" s="1050"/>
      <c r="BD56" s="1050"/>
      <c r="BE56" s="1050"/>
      <c r="BF56" s="1050"/>
    </row>
    <row r="57" spans="1:58" x14ac:dyDescent="0.2">
      <c r="A57" s="1050"/>
      <c r="B57" s="1050"/>
      <c r="C57" s="1050"/>
      <c r="D57" s="1050"/>
      <c r="E57" s="1050"/>
      <c r="F57" s="1050"/>
      <c r="G57" s="1050"/>
      <c r="H57" s="1050"/>
      <c r="I57" s="1050"/>
      <c r="J57" s="1050"/>
      <c r="K57" s="1050"/>
      <c r="L57" s="1050"/>
      <c r="M57" s="1050"/>
      <c r="N57" s="1050"/>
      <c r="O57" s="1050"/>
      <c r="P57" s="1050"/>
      <c r="Q57" s="1050"/>
      <c r="R57" s="1050"/>
      <c r="S57" s="1050"/>
      <c r="T57" s="1050"/>
      <c r="U57" s="1050"/>
      <c r="V57" s="1050"/>
      <c r="W57" s="1050"/>
      <c r="X57" s="1050"/>
      <c r="Y57" s="1050"/>
      <c r="Z57" s="1050"/>
      <c r="AA57" s="1050"/>
      <c r="AB57" s="1050"/>
      <c r="AC57" s="1050"/>
      <c r="AD57" s="1050"/>
      <c r="AE57" s="1050"/>
      <c r="AF57" s="1050"/>
      <c r="AG57" s="1050"/>
      <c r="AH57" s="1050"/>
      <c r="AI57" s="1050"/>
      <c r="AJ57" s="1050"/>
      <c r="AK57" s="1050"/>
      <c r="AL57" s="1050"/>
      <c r="AM57" s="1050"/>
      <c r="AN57" s="1050"/>
      <c r="AO57" s="1050"/>
      <c r="AP57" s="1050"/>
      <c r="AQ57" s="1050"/>
      <c r="AR57" s="1050"/>
      <c r="AS57" s="1050"/>
      <c r="AT57" s="1050"/>
      <c r="AU57" s="1050"/>
      <c r="AV57" s="1050"/>
      <c r="AW57" s="1050"/>
      <c r="AX57" s="1050"/>
      <c r="AY57" s="1050"/>
      <c r="AZ57" s="1050"/>
      <c r="BA57" s="1050"/>
      <c r="BB57" s="1050"/>
      <c r="BC57" s="1050"/>
      <c r="BD57" s="1050"/>
      <c r="BE57" s="1050"/>
      <c r="BF57" s="1050"/>
    </row>
    <row r="58" spans="1:58" x14ac:dyDescent="0.2">
      <c r="A58" s="1050"/>
      <c r="B58" s="1050"/>
      <c r="C58" s="1050"/>
      <c r="D58" s="1050"/>
      <c r="E58" s="1050"/>
      <c r="F58" s="1050"/>
      <c r="G58" s="1050"/>
      <c r="H58" s="1050"/>
      <c r="I58" s="1050"/>
      <c r="J58" s="1050"/>
      <c r="K58" s="1050"/>
      <c r="L58" s="1050"/>
      <c r="M58" s="1050"/>
      <c r="N58" s="1050"/>
      <c r="O58" s="1050"/>
      <c r="P58" s="1050"/>
      <c r="Q58" s="1050"/>
      <c r="R58" s="1050"/>
      <c r="S58" s="1050"/>
      <c r="T58" s="1050"/>
      <c r="U58" s="1050"/>
      <c r="V58" s="1050"/>
      <c r="W58" s="1050"/>
      <c r="X58" s="1050"/>
      <c r="Y58" s="1050"/>
      <c r="Z58" s="1050"/>
      <c r="AA58" s="1050"/>
      <c r="AB58" s="1050"/>
      <c r="AC58" s="1050"/>
      <c r="AD58" s="1050"/>
      <c r="AE58" s="1050"/>
      <c r="AF58" s="1050"/>
      <c r="AG58" s="1050"/>
      <c r="AH58" s="1050"/>
      <c r="AI58" s="1050"/>
      <c r="AJ58" s="1050"/>
      <c r="AK58" s="1050"/>
      <c r="AL58" s="1050"/>
      <c r="AM58" s="1050"/>
      <c r="AN58" s="1050"/>
      <c r="AO58" s="1050"/>
      <c r="AP58" s="1050"/>
      <c r="AQ58" s="1050"/>
      <c r="AR58" s="1050"/>
      <c r="AS58" s="1050"/>
      <c r="AT58" s="1050"/>
      <c r="AU58" s="1050"/>
      <c r="AV58" s="1050"/>
      <c r="AW58" s="1050"/>
      <c r="AX58" s="1050"/>
      <c r="AY58" s="1050"/>
      <c r="AZ58" s="1050"/>
      <c r="BA58" s="1050"/>
      <c r="BB58" s="1050"/>
      <c r="BC58" s="1050"/>
      <c r="BD58" s="1050"/>
      <c r="BE58" s="1050"/>
      <c r="BF58" s="1050"/>
    </row>
    <row r="59" spans="1:58" x14ac:dyDescent="0.2">
      <c r="A59" s="1050"/>
      <c r="B59" s="1050"/>
      <c r="C59" s="1050"/>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c r="Z59" s="1050"/>
      <c r="AA59" s="1050"/>
      <c r="AB59" s="1050"/>
      <c r="AC59" s="1050"/>
      <c r="AD59" s="1050"/>
      <c r="AE59" s="1050"/>
      <c r="AF59" s="1050"/>
      <c r="AG59" s="1050"/>
      <c r="AH59" s="1050"/>
      <c r="AI59" s="1050"/>
      <c r="AJ59" s="1050"/>
      <c r="AK59" s="1050"/>
      <c r="AL59" s="1050"/>
      <c r="AM59" s="1050"/>
      <c r="AN59" s="1050"/>
      <c r="AO59" s="1050"/>
      <c r="AP59" s="1050"/>
      <c r="AQ59" s="1050"/>
      <c r="AR59" s="1050"/>
      <c r="AS59" s="1050"/>
      <c r="AT59" s="1050"/>
      <c r="AU59" s="1050"/>
      <c r="AV59" s="1050"/>
      <c r="AW59" s="1050"/>
      <c r="AX59" s="1050"/>
      <c r="AY59" s="1050"/>
      <c r="AZ59" s="1050"/>
      <c r="BA59" s="1050"/>
      <c r="BB59" s="1050"/>
      <c r="BC59" s="1050"/>
      <c r="BD59" s="1050"/>
      <c r="BE59" s="1050"/>
      <c r="BF59" s="1050"/>
    </row>
    <row r="60" spans="1:58" x14ac:dyDescent="0.2">
      <c r="A60" s="1050"/>
      <c r="B60" s="1050"/>
      <c r="C60" s="1050"/>
      <c r="D60" s="1050"/>
      <c r="E60" s="1050"/>
      <c r="F60" s="1050"/>
      <c r="G60" s="1050"/>
      <c r="H60" s="1050"/>
      <c r="I60" s="1050"/>
      <c r="J60" s="1050"/>
      <c r="K60" s="1050"/>
      <c r="L60" s="1050"/>
      <c r="M60" s="1050"/>
      <c r="N60" s="1050"/>
      <c r="O60" s="1050"/>
      <c r="P60" s="1050"/>
      <c r="Q60" s="1050"/>
      <c r="R60" s="1050"/>
      <c r="S60" s="1050"/>
      <c r="T60" s="1050"/>
      <c r="U60" s="1050"/>
      <c r="V60" s="1050"/>
      <c r="W60" s="1050"/>
      <c r="X60" s="1050"/>
      <c r="Y60" s="1050"/>
      <c r="Z60" s="1050"/>
      <c r="AA60" s="1050"/>
      <c r="AB60" s="1050"/>
      <c r="AC60" s="1050"/>
      <c r="AD60" s="1050"/>
      <c r="AE60" s="1050"/>
      <c r="AF60" s="1050"/>
      <c r="AG60" s="1050"/>
      <c r="AH60" s="1050"/>
      <c r="AI60" s="1050"/>
      <c r="AJ60" s="1050"/>
      <c r="AK60" s="1050"/>
      <c r="AL60" s="1050"/>
      <c r="AM60" s="1050"/>
      <c r="AN60" s="1050"/>
      <c r="AO60" s="1050"/>
      <c r="AP60" s="1050"/>
      <c r="AQ60" s="1050"/>
      <c r="AR60" s="1050"/>
      <c r="AS60" s="1050"/>
      <c r="AT60" s="1050"/>
      <c r="AU60" s="1050"/>
      <c r="AV60" s="1050"/>
      <c r="AW60" s="1050"/>
      <c r="AX60" s="1050"/>
      <c r="AY60" s="1050"/>
      <c r="AZ60" s="1050"/>
      <c r="BA60" s="1050"/>
      <c r="BB60" s="1050"/>
      <c r="BC60" s="1050"/>
      <c r="BD60" s="1050"/>
      <c r="BE60" s="1050"/>
      <c r="BF60" s="1050"/>
    </row>
    <row r="61" spans="1:58" x14ac:dyDescent="0.2">
      <c r="A61" s="1050"/>
      <c r="B61" s="1050"/>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1050"/>
      <c r="AM61" s="1050"/>
      <c r="AN61" s="1050"/>
      <c r="AO61" s="1050"/>
      <c r="AP61" s="1050"/>
      <c r="AQ61" s="1050"/>
      <c r="AR61" s="1050"/>
      <c r="AS61" s="1050"/>
      <c r="AT61" s="1050"/>
      <c r="AU61" s="1050"/>
      <c r="AV61" s="1050"/>
      <c r="AW61" s="1050"/>
      <c r="AX61" s="1050"/>
      <c r="AY61" s="1050"/>
      <c r="AZ61" s="1050"/>
      <c r="BA61" s="1050"/>
      <c r="BB61" s="1050"/>
      <c r="BC61" s="1050"/>
      <c r="BD61" s="1050"/>
      <c r="BE61" s="1050"/>
      <c r="BF61" s="1050"/>
    </row>
    <row r="62" spans="1:58" x14ac:dyDescent="0.2">
      <c r="A62" s="1050"/>
      <c r="B62" s="1050"/>
      <c r="C62" s="1050"/>
      <c r="D62" s="1050"/>
      <c r="E62" s="1050"/>
      <c r="F62" s="1050"/>
      <c r="G62" s="1050"/>
      <c r="H62" s="1050"/>
      <c r="I62" s="1050"/>
      <c r="J62" s="1050"/>
      <c r="K62" s="1050"/>
      <c r="L62" s="1050"/>
      <c r="M62" s="1050"/>
      <c r="N62" s="1050"/>
      <c r="O62" s="1050"/>
      <c r="P62" s="1050"/>
      <c r="Q62" s="1050"/>
      <c r="R62" s="1050"/>
      <c r="S62" s="1050"/>
      <c r="T62" s="1050"/>
      <c r="U62" s="1050"/>
      <c r="V62" s="1050"/>
      <c r="W62" s="1050"/>
      <c r="X62" s="1050"/>
      <c r="Y62" s="1050"/>
      <c r="Z62" s="1050"/>
      <c r="AA62" s="1050"/>
      <c r="AB62" s="1050"/>
      <c r="AC62" s="1050"/>
      <c r="AD62" s="1050"/>
      <c r="AE62" s="1050"/>
      <c r="AF62" s="1050"/>
      <c r="AG62" s="1050"/>
      <c r="AH62" s="1050"/>
      <c r="AI62" s="1050"/>
      <c r="AJ62" s="1050"/>
      <c r="AK62" s="1050"/>
      <c r="AL62" s="1050"/>
      <c r="AM62" s="1050"/>
      <c r="AN62" s="1050"/>
      <c r="AO62" s="1050"/>
      <c r="AP62" s="1050"/>
      <c r="AQ62" s="1050"/>
      <c r="AR62" s="1050"/>
      <c r="AS62" s="1050"/>
      <c r="AT62" s="1050"/>
      <c r="AU62" s="1050"/>
      <c r="AV62" s="1050"/>
      <c r="AW62" s="1050"/>
      <c r="AX62" s="1050"/>
      <c r="AY62" s="1050"/>
      <c r="AZ62" s="1050"/>
      <c r="BA62" s="1050"/>
      <c r="BB62" s="1050"/>
      <c r="BC62" s="1050"/>
      <c r="BD62" s="1050"/>
      <c r="BE62" s="1050"/>
      <c r="BF62" s="1050"/>
    </row>
    <row r="63" spans="1:58" x14ac:dyDescent="0.2">
      <c r="A63" s="1050"/>
      <c r="B63" s="1050"/>
      <c r="C63" s="1050"/>
      <c r="D63" s="1050"/>
      <c r="E63" s="1050"/>
      <c r="F63" s="1050"/>
      <c r="G63" s="1050"/>
      <c r="H63" s="1050"/>
      <c r="I63" s="1050"/>
      <c r="J63" s="1050"/>
      <c r="K63" s="1050"/>
      <c r="L63" s="1050"/>
      <c r="M63" s="1050"/>
      <c r="N63" s="1050"/>
      <c r="O63" s="1050"/>
      <c r="P63" s="1050"/>
      <c r="Q63" s="1050"/>
      <c r="R63" s="1050"/>
      <c r="S63" s="1050"/>
      <c r="T63" s="1050"/>
      <c r="U63" s="1050"/>
      <c r="V63" s="1050"/>
      <c r="W63" s="1050"/>
      <c r="X63" s="1050"/>
      <c r="Y63" s="1050"/>
      <c r="Z63" s="1050"/>
      <c r="AA63" s="1050"/>
      <c r="AB63" s="1050"/>
      <c r="AC63" s="1050"/>
      <c r="AD63" s="1050"/>
      <c r="AE63" s="1050"/>
      <c r="AF63" s="1050"/>
      <c r="AG63" s="1050"/>
      <c r="AH63" s="1050"/>
      <c r="AI63" s="1050"/>
      <c r="AJ63" s="1050"/>
      <c r="AK63" s="1050"/>
      <c r="AL63" s="1050"/>
      <c r="AM63" s="1050"/>
      <c r="AN63" s="1050"/>
      <c r="AO63" s="1050"/>
      <c r="AP63" s="1050"/>
      <c r="AQ63" s="1050"/>
      <c r="AR63" s="1050"/>
      <c r="AS63" s="1050"/>
      <c r="AT63" s="1050"/>
      <c r="AU63" s="1050"/>
      <c r="AV63" s="1050"/>
      <c r="AW63" s="1050"/>
      <c r="AX63" s="1050"/>
      <c r="AY63" s="1050"/>
      <c r="AZ63" s="1050"/>
      <c r="BA63" s="1050"/>
      <c r="BB63" s="1050"/>
      <c r="BC63" s="1050"/>
      <c r="BD63" s="1050"/>
      <c r="BE63" s="1050"/>
      <c r="BF63" s="1050"/>
    </row>
    <row r="64" spans="1:58" x14ac:dyDescent="0.2">
      <c r="A64" s="1050"/>
      <c r="B64" s="1050"/>
      <c r="C64" s="1050"/>
      <c r="D64" s="1050"/>
      <c r="E64" s="1050"/>
      <c r="F64" s="1050"/>
      <c r="G64" s="1050"/>
      <c r="H64" s="1050"/>
      <c r="I64" s="1050"/>
      <c r="J64" s="1050"/>
      <c r="K64" s="1050"/>
      <c r="L64" s="1050"/>
      <c r="M64" s="1050"/>
      <c r="N64" s="1050"/>
      <c r="O64" s="1050"/>
      <c r="P64" s="1050"/>
      <c r="Q64" s="1050"/>
      <c r="R64" s="1050"/>
      <c r="S64" s="1050"/>
      <c r="T64" s="1050"/>
      <c r="U64" s="1050"/>
      <c r="V64" s="1050"/>
      <c r="W64" s="1050"/>
      <c r="X64" s="1050"/>
      <c r="Y64" s="1050"/>
      <c r="Z64" s="1050"/>
      <c r="AA64" s="1050"/>
      <c r="AB64" s="1050"/>
      <c r="AC64" s="1050"/>
      <c r="AD64" s="1050"/>
      <c r="AE64" s="1050"/>
      <c r="AF64" s="1050"/>
      <c r="AG64" s="1050"/>
      <c r="AH64" s="1050"/>
      <c r="AI64" s="1050"/>
      <c r="AJ64" s="1050"/>
      <c r="AK64" s="1050"/>
      <c r="AL64" s="1050"/>
      <c r="AM64" s="1050"/>
      <c r="AN64" s="1050"/>
      <c r="AO64" s="1050"/>
      <c r="AP64" s="1050"/>
      <c r="AQ64" s="1050"/>
      <c r="AR64" s="1050"/>
      <c r="AS64" s="1050"/>
      <c r="AT64" s="1050"/>
      <c r="AU64" s="1050"/>
      <c r="AV64" s="1050"/>
      <c r="AW64" s="1050"/>
      <c r="AX64" s="1050"/>
      <c r="AY64" s="1050"/>
      <c r="AZ64" s="1050"/>
      <c r="BA64" s="1050"/>
      <c r="BB64" s="1050"/>
      <c r="BC64" s="1050"/>
      <c r="BD64" s="1050"/>
      <c r="BE64" s="1050"/>
      <c r="BF64" s="1050"/>
    </row>
    <row r="65" spans="1:58" x14ac:dyDescent="0.2">
      <c r="A65" s="60"/>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row>
    <row r="66" spans="1:58" x14ac:dyDescent="0.2">
      <c r="A66" s="60"/>
      <c r="B66" s="60"/>
      <c r="C66" s="60"/>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row>
    <row r="67" spans="1:58" x14ac:dyDescent="0.2">
      <c r="A67" s="60"/>
      <c r="B67" s="60"/>
      <c r="C67" s="60"/>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row>
    <row r="68" spans="1:58" x14ac:dyDescent="0.2">
      <c r="A68" s="60"/>
      <c r="B68" s="60"/>
      <c r="C68" s="6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row>
    <row r="69" spans="1:58" x14ac:dyDescent="0.2">
      <c r="A69" s="60"/>
      <c r="B69" s="60"/>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row>
    <row r="70" spans="1:58" x14ac:dyDescent="0.2">
      <c r="A70" s="60"/>
      <c r="B70" s="60"/>
      <c r="C70" s="60"/>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row>
    <row r="71" spans="1:58" x14ac:dyDescent="0.2">
      <c r="A71" s="60"/>
      <c r="B71" s="60"/>
      <c r="C71" s="60"/>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row>
    <row r="72" spans="1:58" x14ac:dyDescent="0.2">
      <c r="A72" s="60"/>
      <c r="B72" s="60"/>
      <c r="C72" s="60"/>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row>
    <row r="73" spans="1:58" x14ac:dyDescent="0.2">
      <c r="A73" s="60"/>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row>
    <row r="74" spans="1:58" x14ac:dyDescent="0.2">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row>
    <row r="75" spans="1:58" x14ac:dyDescent="0.2">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row>
    <row r="76" spans="1:58" x14ac:dyDescent="0.2">
      <c r="A76" s="60"/>
      <c r="B76" s="60"/>
      <c r="C76" s="60"/>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row>
    <row r="77" spans="1:58"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row>
    <row r="78" spans="1:58" x14ac:dyDescent="0.2">
      <c r="A78" s="60"/>
      <c r="B78" s="60"/>
      <c r="C78" s="60"/>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row>
    <row r="79" spans="1:58" x14ac:dyDescent="0.2">
      <c r="A79" s="60"/>
      <c r="B79" s="60"/>
      <c r="C79" s="60"/>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row>
    <row r="80" spans="1:58" x14ac:dyDescent="0.2">
      <c r="A80" s="60"/>
      <c r="B80" s="60"/>
      <c r="C80" s="60"/>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row>
    <row r="81" spans="1:58"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row>
    <row r="82" spans="1:58" x14ac:dyDescent="0.2">
      <c r="A82" s="60"/>
      <c r="B82" s="60"/>
      <c r="C82" s="60"/>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row>
    <row r="83" spans="1:58" x14ac:dyDescent="0.2">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row>
    <row r="84" spans="1:58" x14ac:dyDescent="0.2">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row>
    <row r="85" spans="1:58"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row>
    <row r="86" spans="1:58" x14ac:dyDescent="0.2">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row>
    <row r="87" spans="1:58" x14ac:dyDescent="0.2">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row>
    <row r="88" spans="1:58"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row>
    <row r="89" spans="1:58" x14ac:dyDescent="0.2">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row>
    <row r="90" spans="1:58" x14ac:dyDescent="0.2">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row>
    <row r="91" spans="1:58" x14ac:dyDescent="0.2">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row>
    <row r="92" spans="1:58" x14ac:dyDescent="0.2">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row>
    <row r="93" spans="1:58" x14ac:dyDescent="0.2">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row>
    <row r="94" spans="1:58" x14ac:dyDescent="0.2">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row>
    <row r="95" spans="1:58" x14ac:dyDescent="0.2">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row>
    <row r="96" spans="1:58" x14ac:dyDescent="0.2">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row>
    <row r="97" spans="1:58"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row>
    <row r="98" spans="1:58" x14ac:dyDescent="0.2">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row>
    <row r="99" spans="1:58" x14ac:dyDescent="0.2">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row>
    <row r="100" spans="1:58" x14ac:dyDescent="0.2">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row>
    <row r="101" spans="1:58"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row>
    <row r="102" spans="1:58"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row>
    <row r="103" spans="1:58" x14ac:dyDescent="0.2">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row>
    <row r="104" spans="1:58" x14ac:dyDescent="0.2">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row>
    <row r="105" spans="1:58" x14ac:dyDescent="0.2">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row>
    <row r="106" spans="1:58" x14ac:dyDescent="0.2">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row>
    <row r="107" spans="1:58"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row>
    <row r="108" spans="1:58" x14ac:dyDescent="0.2">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row>
    <row r="109" spans="1:58" x14ac:dyDescent="0.2">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row>
    <row r="110" spans="1:58"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row>
    <row r="111" spans="1:58" x14ac:dyDescent="0.2">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row>
    <row r="112" spans="1:58" x14ac:dyDescent="0.2">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row>
    <row r="113" spans="1:58" x14ac:dyDescent="0.2">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row>
    <row r="114" spans="1:58" x14ac:dyDescent="0.2">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row>
    <row r="115" spans="1:58" x14ac:dyDescent="0.2">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row>
    <row r="116" spans="1:58" x14ac:dyDescent="0.2">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c r="AB116" s="60"/>
      <c r="AC116" s="60"/>
      <c r="AD116" s="60"/>
      <c r="AE116" s="60"/>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row>
    <row r="117" spans="1:58"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row>
    <row r="118" spans="1:58" x14ac:dyDescent="0.2">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c r="AB118" s="60"/>
      <c r="AC118" s="60"/>
      <c r="AD118" s="60"/>
      <c r="AE118" s="60"/>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row>
    <row r="119" spans="1:58" x14ac:dyDescent="0.2">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row>
    <row r="120" spans="1:58"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row>
    <row r="121" spans="1:58" x14ac:dyDescent="0.2">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row>
    <row r="122" spans="1:58" x14ac:dyDescent="0.2">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row>
    <row r="123" spans="1:58"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row>
    <row r="124" spans="1:58"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row>
    <row r="125" spans="1:58"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row>
    <row r="126" spans="1:58"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row>
    <row r="127" spans="1:58"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row>
    <row r="128" spans="1:58"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row>
    <row r="129" spans="1:58"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row>
  </sheetData>
  <sheetProtection password="E882" sheet="1" objects="1" scenarios="1" selectLockedCells="1"/>
  <mergeCells count="57">
    <mergeCell ref="A10:BF10"/>
    <mergeCell ref="A1:D1"/>
    <mergeCell ref="E1:S1"/>
    <mergeCell ref="AM1:AQ1"/>
    <mergeCell ref="A3:BF3"/>
    <mergeCell ref="A4:BF4"/>
    <mergeCell ref="A5:BF5"/>
    <mergeCell ref="A6:BF6"/>
    <mergeCell ref="A7:BF7"/>
    <mergeCell ref="A8:BF8"/>
    <mergeCell ref="A9:BF9"/>
    <mergeCell ref="A42:BF42"/>
    <mergeCell ref="A22:BF22"/>
    <mergeCell ref="A11:BF11"/>
    <mergeCell ref="A12:BF12"/>
    <mergeCell ref="A13:BF13"/>
    <mergeCell ref="A14:BF14"/>
    <mergeCell ref="A15:BF15"/>
    <mergeCell ref="A16:BF16"/>
    <mergeCell ref="A17:BF17"/>
    <mergeCell ref="A18:BF18"/>
    <mergeCell ref="A19:BF19"/>
    <mergeCell ref="A20:BF20"/>
    <mergeCell ref="A21:BF21"/>
    <mergeCell ref="A31:BF31"/>
    <mergeCell ref="A32:BF32"/>
    <mergeCell ref="A33:BF33"/>
    <mergeCell ref="A40:BF40"/>
    <mergeCell ref="A41:BF41"/>
    <mergeCell ref="A26:BF26"/>
    <mergeCell ref="A27:BF27"/>
    <mergeCell ref="A28:BF28"/>
    <mergeCell ref="A29:BF29"/>
    <mergeCell ref="A30:BF30"/>
    <mergeCell ref="A43:BF43"/>
    <mergeCell ref="A44:BF44"/>
    <mergeCell ref="AR1:BF1"/>
    <mergeCell ref="A53:BF53"/>
    <mergeCell ref="A54:BF54"/>
    <mergeCell ref="A46:BF46"/>
    <mergeCell ref="A35:BF35"/>
    <mergeCell ref="A36:BF36"/>
    <mergeCell ref="A37:BF37"/>
    <mergeCell ref="A38:BF38"/>
    <mergeCell ref="A39:BF39"/>
    <mergeCell ref="A45:BF45"/>
    <mergeCell ref="A34:BF34"/>
    <mergeCell ref="A23:BF23"/>
    <mergeCell ref="A24:BF24"/>
    <mergeCell ref="A25:BF25"/>
    <mergeCell ref="A55:BF64"/>
    <mergeCell ref="A47:BF47"/>
    <mergeCell ref="A48:BF48"/>
    <mergeCell ref="A49:BF49"/>
    <mergeCell ref="A50:BF50"/>
    <mergeCell ref="A51:BF51"/>
    <mergeCell ref="A52:BF52"/>
  </mergeCells>
  <printOptions horizontalCentered="1"/>
  <pageMargins left="0.19685039370078741" right="0.19685039370078741" top="0.19685039370078741" bottom="0.19685039370078741" header="0.51181102362204722" footer="0.51181102362204722"/>
  <pageSetup paperSize="9" firstPageNumber="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tabColor theme="9" tint="-0.499984740745262"/>
    <pageSetUpPr fitToPage="1"/>
  </sheetPr>
  <dimension ref="A1:BF76"/>
  <sheetViews>
    <sheetView showGridLines="0" zoomScale="125" zoomScaleNormal="125" workbookViewId="0">
      <selection activeCell="F3" sqref="F3:T3"/>
    </sheetView>
  </sheetViews>
  <sheetFormatPr baseColWidth="10" defaultColWidth="1.7109375" defaultRowHeight="12.75" x14ac:dyDescent="0.2"/>
  <cols>
    <col min="1" max="16384" width="1.7109375" style="158"/>
  </cols>
  <sheetData>
    <row r="1" spans="1:58" s="157" customFormat="1" ht="15.75" customHeight="1" thickBot="1" x14ac:dyDescent="0.25">
      <c r="A1" s="1081" t="s">
        <v>181</v>
      </c>
      <c r="B1" s="1082"/>
      <c r="C1" s="1082"/>
      <c r="D1" s="1082"/>
      <c r="E1" s="1090" t="str">
        <f>IF(ISBLANK(Name),"",Name)</f>
        <v/>
      </c>
      <c r="F1" s="1088"/>
      <c r="G1" s="1088"/>
      <c r="H1" s="1088"/>
      <c r="I1" s="1088"/>
      <c r="J1" s="1088"/>
      <c r="K1" s="1088"/>
      <c r="L1" s="1088"/>
      <c r="M1" s="1088"/>
      <c r="N1" s="1088"/>
      <c r="O1" s="1088"/>
      <c r="P1" s="1088"/>
      <c r="Q1" s="1088"/>
      <c r="R1" s="1088"/>
      <c r="S1" s="1088"/>
      <c r="T1" s="1088"/>
      <c r="U1" s="1088"/>
      <c r="V1" s="1088"/>
      <c r="W1" s="1088"/>
      <c r="X1" s="1088"/>
      <c r="Y1" s="1088"/>
      <c r="Z1" s="1089"/>
      <c r="AG1" s="1081" t="s">
        <v>2</v>
      </c>
      <c r="AH1" s="1082"/>
      <c r="AI1" s="1082"/>
      <c r="AJ1" s="1082"/>
      <c r="AK1" s="1083"/>
      <c r="AL1" s="1087" t="str">
        <f>IF(ISBLANK(Spieler),"",Spieler)</f>
        <v/>
      </c>
      <c r="AM1" s="1088"/>
      <c r="AN1" s="1088"/>
      <c r="AO1" s="1088"/>
      <c r="AP1" s="1088"/>
      <c r="AQ1" s="1088"/>
      <c r="AR1" s="1088"/>
      <c r="AS1" s="1088"/>
      <c r="AT1" s="1088"/>
      <c r="AU1" s="1088"/>
      <c r="AV1" s="1088"/>
      <c r="AW1" s="1088"/>
      <c r="AX1" s="1088"/>
      <c r="AY1" s="1088"/>
      <c r="AZ1" s="1088"/>
      <c r="BA1" s="1088"/>
      <c r="BB1" s="1088"/>
      <c r="BC1" s="1088"/>
      <c r="BD1" s="1088"/>
      <c r="BE1" s="1088"/>
      <c r="BF1" s="1089"/>
    </row>
    <row r="2" spans="1:58" ht="12.75" customHeight="1" thickBot="1" x14ac:dyDescent="0.25"/>
    <row r="3" spans="1:58" ht="13.5" thickBot="1" x14ac:dyDescent="0.25">
      <c r="A3" s="1084" t="s">
        <v>3</v>
      </c>
      <c r="B3" s="1084"/>
      <c r="C3" s="1084"/>
      <c r="D3" s="1084"/>
      <c r="E3" s="1084"/>
      <c r="F3" s="1085" t="s">
        <v>180</v>
      </c>
      <c r="G3" s="1085"/>
      <c r="H3" s="1085"/>
      <c r="I3" s="1085"/>
      <c r="J3" s="1085"/>
      <c r="K3" s="1085"/>
      <c r="L3" s="1085"/>
      <c r="M3" s="1085"/>
      <c r="N3" s="1085"/>
      <c r="O3" s="1085"/>
      <c r="P3" s="1085"/>
      <c r="Q3" s="1085"/>
      <c r="R3" s="1085"/>
      <c r="S3" s="1085"/>
      <c r="T3" s="1085"/>
      <c r="U3" s="1068" t="s">
        <v>1</v>
      </c>
      <c r="V3" s="1068"/>
      <c r="W3" s="1068"/>
      <c r="X3" s="1086" t="s">
        <v>221</v>
      </c>
      <c r="Y3" s="1086"/>
      <c r="Z3" s="1086"/>
      <c r="AG3" s="1084" t="s">
        <v>3</v>
      </c>
      <c r="AH3" s="1084"/>
      <c r="AI3" s="1084"/>
      <c r="AJ3" s="1084"/>
      <c r="AK3" s="1084"/>
      <c r="AL3" s="1085"/>
      <c r="AM3" s="1085"/>
      <c r="AN3" s="1085"/>
      <c r="AO3" s="1085"/>
      <c r="AP3" s="1085"/>
      <c r="AQ3" s="1085"/>
      <c r="AR3" s="1085"/>
      <c r="AS3" s="1085"/>
      <c r="AT3" s="1085"/>
      <c r="AU3" s="1085"/>
      <c r="AV3" s="1085"/>
      <c r="AW3" s="1085"/>
      <c r="AX3" s="1085"/>
      <c r="AY3" s="1085"/>
      <c r="AZ3" s="1085"/>
      <c r="BA3" s="1068" t="s">
        <v>1</v>
      </c>
      <c r="BB3" s="1068"/>
      <c r="BC3" s="1068"/>
      <c r="BD3" s="1086"/>
      <c r="BE3" s="1086"/>
      <c r="BF3" s="1086"/>
    </row>
    <row r="4" spans="1:58" ht="5.0999999999999996" customHeight="1" thickBot="1" x14ac:dyDescent="0.25">
      <c r="A4" s="159"/>
      <c r="B4" s="160"/>
      <c r="C4" s="160"/>
      <c r="D4" s="160"/>
      <c r="E4" s="160"/>
      <c r="F4" s="160"/>
      <c r="G4" s="160"/>
      <c r="H4" s="160"/>
      <c r="I4" s="160"/>
      <c r="J4" s="160"/>
      <c r="K4" s="160"/>
      <c r="L4" s="160"/>
      <c r="M4" s="160"/>
      <c r="N4" s="160"/>
      <c r="O4" s="160"/>
      <c r="P4" s="160"/>
      <c r="Q4" s="160"/>
      <c r="R4" s="160"/>
      <c r="S4" s="160"/>
      <c r="T4" s="160"/>
      <c r="U4" s="160"/>
      <c r="V4" s="160"/>
      <c r="W4" s="160"/>
      <c r="X4" s="160"/>
      <c r="Y4" s="160"/>
      <c r="Z4" s="161"/>
      <c r="AG4" s="159"/>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1"/>
    </row>
    <row r="5" spans="1:58" ht="12.75" customHeight="1" thickBot="1" x14ac:dyDescent="0.25">
      <c r="A5" s="159"/>
      <c r="B5" s="1068" t="s">
        <v>181</v>
      </c>
      <c r="C5" s="1068"/>
      <c r="D5" s="1068"/>
      <c r="E5" s="1069"/>
      <c r="F5" s="1069"/>
      <c r="G5" s="1069"/>
      <c r="H5" s="1069"/>
      <c r="I5" s="1069"/>
      <c r="J5" s="1069"/>
      <c r="K5" s="1069"/>
      <c r="L5" s="1069"/>
      <c r="M5" s="1069"/>
      <c r="N5" s="1069"/>
      <c r="O5" s="1069"/>
      <c r="P5" s="1069"/>
      <c r="Q5" s="1069"/>
      <c r="R5" s="1069"/>
      <c r="S5" s="1069"/>
      <c r="T5" s="1069"/>
      <c r="U5" s="1069"/>
      <c r="V5" s="1069"/>
      <c r="W5" s="1069"/>
      <c r="X5" s="1069"/>
      <c r="Y5" s="1069"/>
      <c r="Z5" s="161"/>
      <c r="AG5" s="159"/>
      <c r="AH5" s="1068" t="s">
        <v>181</v>
      </c>
      <c r="AI5" s="1068"/>
      <c r="AJ5" s="1068"/>
      <c r="AK5" s="1069"/>
      <c r="AL5" s="1069"/>
      <c r="AM5" s="1069"/>
      <c r="AN5" s="1069"/>
      <c r="AO5" s="1069"/>
      <c r="AP5" s="1069"/>
      <c r="AQ5" s="1069"/>
      <c r="AR5" s="1069"/>
      <c r="AS5" s="1069"/>
      <c r="AT5" s="1069"/>
      <c r="AU5" s="1069"/>
      <c r="AV5" s="1069"/>
      <c r="AW5" s="1069"/>
      <c r="AX5" s="1069"/>
      <c r="AY5" s="1069"/>
      <c r="AZ5" s="1069"/>
      <c r="BA5" s="1069"/>
      <c r="BB5" s="1069"/>
      <c r="BC5" s="1069"/>
      <c r="BD5" s="1069"/>
      <c r="BE5" s="1069"/>
      <c r="BF5" s="161"/>
    </row>
    <row r="6" spans="1:58" ht="5.0999999999999996" customHeight="1" thickBot="1" x14ac:dyDescent="0.25">
      <c r="A6" s="159"/>
      <c r="B6" s="160"/>
      <c r="C6" s="160"/>
      <c r="D6" s="160"/>
      <c r="E6" s="160"/>
      <c r="F6" s="160"/>
      <c r="G6" s="160"/>
      <c r="H6" s="160"/>
      <c r="I6" s="160"/>
      <c r="J6" s="160"/>
      <c r="K6" s="160"/>
      <c r="L6" s="160"/>
      <c r="M6" s="160"/>
      <c r="N6" s="160"/>
      <c r="O6" s="160"/>
      <c r="P6" s="160"/>
      <c r="Q6" s="160"/>
      <c r="R6" s="160"/>
      <c r="S6" s="160"/>
      <c r="T6" s="160"/>
      <c r="U6" s="160"/>
      <c r="V6" s="160"/>
      <c r="W6" s="160"/>
      <c r="X6" s="160"/>
      <c r="Y6" s="160"/>
      <c r="Z6" s="161"/>
      <c r="AG6" s="159"/>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1"/>
    </row>
    <row r="7" spans="1:58" ht="12.75" customHeight="1" x14ac:dyDescent="0.2">
      <c r="A7" s="159"/>
      <c r="B7" s="1072" t="s">
        <v>19</v>
      </c>
      <c r="C7" s="1072"/>
      <c r="D7" s="1091" t="s">
        <v>222</v>
      </c>
      <c r="E7" s="1091"/>
      <c r="F7" s="1066"/>
      <c r="G7" s="1064"/>
      <c r="H7" s="1063"/>
      <c r="I7" s="1064"/>
      <c r="J7" s="1063"/>
      <c r="K7" s="1064"/>
      <c r="L7" s="1063"/>
      <c r="M7" s="1064"/>
      <c r="N7" s="1063"/>
      <c r="O7" s="1064"/>
      <c r="P7" s="1063"/>
      <c r="Q7" s="1064"/>
      <c r="R7" s="1063"/>
      <c r="S7" s="1064"/>
      <c r="T7" s="1063"/>
      <c r="U7" s="1064"/>
      <c r="V7" s="1063"/>
      <c r="W7" s="1064"/>
      <c r="X7" s="1063"/>
      <c r="Y7" s="1065"/>
      <c r="Z7" s="161"/>
      <c r="AG7" s="159"/>
      <c r="AH7" s="1072" t="s">
        <v>19</v>
      </c>
      <c r="AI7" s="1072"/>
      <c r="AJ7" s="1091"/>
      <c r="AK7" s="1091"/>
      <c r="AL7" s="1066"/>
      <c r="AM7" s="1064"/>
      <c r="AN7" s="1063"/>
      <c r="AO7" s="1064"/>
      <c r="AP7" s="1063"/>
      <c r="AQ7" s="1064"/>
      <c r="AR7" s="1063"/>
      <c r="AS7" s="1064"/>
      <c r="AT7" s="1063"/>
      <c r="AU7" s="1064"/>
      <c r="AV7" s="1063"/>
      <c r="AW7" s="1064"/>
      <c r="AX7" s="1063"/>
      <c r="AY7" s="1064"/>
      <c r="AZ7" s="1063"/>
      <c r="BA7" s="1064"/>
      <c r="BB7" s="1063"/>
      <c r="BC7" s="1064"/>
      <c r="BD7" s="1063"/>
      <c r="BE7" s="1065"/>
      <c r="BF7" s="161"/>
    </row>
    <row r="8" spans="1:58" ht="12.75" customHeight="1" thickBot="1" x14ac:dyDescent="0.25">
      <c r="A8" s="159"/>
      <c r="B8" s="1092" t="s">
        <v>27</v>
      </c>
      <c r="C8" s="1092"/>
      <c r="D8" s="1093" t="s">
        <v>222</v>
      </c>
      <c r="E8" s="1093"/>
      <c r="F8" s="1067"/>
      <c r="G8" s="1061"/>
      <c r="H8" s="1060"/>
      <c r="I8" s="1061"/>
      <c r="J8" s="1060"/>
      <c r="K8" s="1061"/>
      <c r="L8" s="1060"/>
      <c r="M8" s="1061"/>
      <c r="N8" s="1060"/>
      <c r="O8" s="1061"/>
      <c r="P8" s="1060"/>
      <c r="Q8" s="1061"/>
      <c r="R8" s="1060"/>
      <c r="S8" s="1061"/>
      <c r="T8" s="1060"/>
      <c r="U8" s="1061"/>
      <c r="V8" s="1060"/>
      <c r="W8" s="1061"/>
      <c r="X8" s="1060"/>
      <c r="Y8" s="1062"/>
      <c r="Z8" s="161"/>
      <c r="AG8" s="159"/>
      <c r="AH8" s="1092" t="s">
        <v>27</v>
      </c>
      <c r="AI8" s="1092"/>
      <c r="AJ8" s="1093"/>
      <c r="AK8" s="1093"/>
      <c r="AL8" s="1067"/>
      <c r="AM8" s="1061"/>
      <c r="AN8" s="1060"/>
      <c r="AO8" s="1061"/>
      <c r="AP8" s="1060"/>
      <c r="AQ8" s="1061"/>
      <c r="AR8" s="1060"/>
      <c r="AS8" s="1061"/>
      <c r="AT8" s="1060"/>
      <c r="AU8" s="1061"/>
      <c r="AV8" s="1060"/>
      <c r="AW8" s="1061"/>
      <c r="AX8" s="1060"/>
      <c r="AY8" s="1061"/>
      <c r="AZ8" s="1060"/>
      <c r="BA8" s="1061"/>
      <c r="BB8" s="1060"/>
      <c r="BC8" s="1061"/>
      <c r="BD8" s="1060"/>
      <c r="BE8" s="1062"/>
      <c r="BF8" s="161"/>
    </row>
    <row r="9" spans="1:58" ht="5.0999999999999996" customHeight="1" thickBot="1" x14ac:dyDescent="0.25">
      <c r="A9" s="159"/>
      <c r="B9" s="160"/>
      <c r="C9" s="160"/>
      <c r="D9" s="160"/>
      <c r="E9" s="160"/>
      <c r="F9" s="160"/>
      <c r="G9" s="160"/>
      <c r="H9" s="160"/>
      <c r="I9" s="160"/>
      <c r="J9" s="160"/>
      <c r="K9" s="160"/>
      <c r="L9" s="160"/>
      <c r="M9" s="160"/>
      <c r="N9" s="160"/>
      <c r="O9" s="160"/>
      <c r="P9" s="160"/>
      <c r="Q9" s="160"/>
      <c r="R9" s="160"/>
      <c r="S9" s="160"/>
      <c r="T9" s="160"/>
      <c r="U9" s="160"/>
      <c r="V9" s="160"/>
      <c r="W9" s="160"/>
      <c r="X9" s="160"/>
      <c r="Y9" s="160"/>
      <c r="Z9" s="161"/>
      <c r="AG9" s="159"/>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1"/>
    </row>
    <row r="10" spans="1:58" x14ac:dyDescent="0.2">
      <c r="A10" s="159"/>
      <c r="B10" s="1072" t="s">
        <v>25</v>
      </c>
      <c r="C10" s="1072"/>
      <c r="D10" s="1073"/>
      <c r="F10" s="1072" t="s">
        <v>65</v>
      </c>
      <c r="G10" s="1072"/>
      <c r="H10" s="1073"/>
      <c r="J10" s="1072" t="s">
        <v>33</v>
      </c>
      <c r="K10" s="1072"/>
      <c r="L10" s="1073"/>
      <c r="O10" s="1072" t="s">
        <v>13</v>
      </c>
      <c r="P10" s="1072"/>
      <c r="Q10" s="1073"/>
      <c r="S10" s="1072" t="s">
        <v>15</v>
      </c>
      <c r="T10" s="1072"/>
      <c r="U10" s="1073"/>
      <c r="W10" s="1072" t="s">
        <v>17</v>
      </c>
      <c r="X10" s="1072"/>
      <c r="Y10" s="1073"/>
      <c r="Z10" s="161"/>
      <c r="AG10" s="159"/>
      <c r="AH10" s="1072" t="s">
        <v>25</v>
      </c>
      <c r="AI10" s="1072"/>
      <c r="AJ10" s="1073"/>
      <c r="AL10" s="1072" t="s">
        <v>65</v>
      </c>
      <c r="AM10" s="1072"/>
      <c r="AN10" s="1073"/>
      <c r="AP10" s="1072" t="s">
        <v>33</v>
      </c>
      <c r="AQ10" s="1072"/>
      <c r="AR10" s="1073"/>
      <c r="AU10" s="1072" t="s">
        <v>13</v>
      </c>
      <c r="AV10" s="1072"/>
      <c r="AW10" s="1073"/>
      <c r="AY10" s="1072" t="s">
        <v>15</v>
      </c>
      <c r="AZ10" s="1072"/>
      <c r="BA10" s="1073"/>
      <c r="BC10" s="1072" t="s">
        <v>17</v>
      </c>
      <c r="BD10" s="1072"/>
      <c r="BE10" s="1073"/>
      <c r="BF10" s="161"/>
    </row>
    <row r="11" spans="1:58" ht="13.5" thickBot="1" x14ac:dyDescent="0.25">
      <c r="A11" s="159"/>
      <c r="B11" s="1074" t="s">
        <v>223</v>
      </c>
      <c r="C11" s="1074"/>
      <c r="D11" s="1075"/>
      <c r="F11" s="1074" t="s">
        <v>207</v>
      </c>
      <c r="G11" s="1074"/>
      <c r="H11" s="1075"/>
      <c r="J11" s="1076">
        <v>12</v>
      </c>
      <c r="K11" s="1076"/>
      <c r="L11" s="1077"/>
      <c r="O11" s="1074" t="s">
        <v>226</v>
      </c>
      <c r="P11" s="1074"/>
      <c r="Q11" s="1075"/>
      <c r="S11" s="1074" t="s">
        <v>224</v>
      </c>
      <c r="T11" s="1074"/>
      <c r="U11" s="1075"/>
      <c r="W11" s="1074" t="s">
        <v>225</v>
      </c>
      <c r="X11" s="1074"/>
      <c r="Y11" s="1075"/>
      <c r="Z11" s="161"/>
      <c r="AG11" s="159"/>
      <c r="AH11" s="1074"/>
      <c r="AI11" s="1074"/>
      <c r="AJ11" s="1075"/>
      <c r="AL11" s="1074"/>
      <c r="AM11" s="1074"/>
      <c r="AN11" s="1075"/>
      <c r="AP11" s="1076"/>
      <c r="AQ11" s="1076"/>
      <c r="AR11" s="1077"/>
      <c r="AU11" s="1074"/>
      <c r="AV11" s="1074"/>
      <c r="AW11" s="1075"/>
      <c r="AY11" s="1074"/>
      <c r="AZ11" s="1074"/>
      <c r="BA11" s="1075"/>
      <c r="BC11" s="1074"/>
      <c r="BD11" s="1074"/>
      <c r="BE11" s="1075"/>
      <c r="BF11" s="161"/>
    </row>
    <row r="12" spans="1:58" ht="5.0999999999999996" customHeight="1" thickBot="1" x14ac:dyDescent="0.25">
      <c r="A12" s="159"/>
      <c r="B12" s="160"/>
      <c r="C12" s="160"/>
      <c r="D12" s="160"/>
      <c r="E12" s="160"/>
      <c r="R12" s="160"/>
      <c r="S12" s="160"/>
      <c r="T12" s="160"/>
      <c r="U12" s="160"/>
      <c r="V12" s="160"/>
      <c r="W12" s="160"/>
      <c r="X12" s="160"/>
      <c r="Y12" s="160"/>
      <c r="Z12" s="161"/>
      <c r="AG12" s="159"/>
      <c r="AH12" s="160"/>
      <c r="AI12" s="160"/>
      <c r="AJ12" s="160"/>
      <c r="AK12" s="160"/>
      <c r="AX12" s="160"/>
      <c r="AY12" s="160"/>
      <c r="AZ12" s="160"/>
      <c r="BA12" s="160"/>
      <c r="BB12" s="160"/>
      <c r="BC12" s="160"/>
      <c r="BD12" s="160"/>
      <c r="BE12" s="160"/>
      <c r="BF12" s="161"/>
    </row>
    <row r="13" spans="1:58" x14ac:dyDescent="0.2">
      <c r="A13" s="159"/>
      <c r="B13" s="1070"/>
      <c r="C13" s="1070"/>
      <c r="D13" s="1071"/>
      <c r="F13" s="1070"/>
      <c r="G13" s="1070"/>
      <c r="H13" s="1071"/>
      <c r="J13" s="1070"/>
      <c r="K13" s="1070"/>
      <c r="L13" s="1071"/>
      <c r="O13" s="1072" t="s">
        <v>68</v>
      </c>
      <c r="P13" s="1072"/>
      <c r="Q13" s="1073"/>
      <c r="S13" s="1072" t="s">
        <v>215</v>
      </c>
      <c r="T13" s="1072"/>
      <c r="U13" s="1073"/>
      <c r="W13" s="1072" t="s">
        <v>216</v>
      </c>
      <c r="X13" s="1072"/>
      <c r="Y13" s="1073"/>
      <c r="Z13" s="161"/>
      <c r="AG13" s="159"/>
      <c r="AH13" s="1070"/>
      <c r="AI13" s="1070"/>
      <c r="AJ13" s="1071"/>
      <c r="AL13" s="1070"/>
      <c r="AM13" s="1070"/>
      <c r="AN13" s="1071"/>
      <c r="AP13" s="1070"/>
      <c r="AQ13" s="1070"/>
      <c r="AR13" s="1071"/>
      <c r="AU13" s="1072" t="s">
        <v>68</v>
      </c>
      <c r="AV13" s="1072"/>
      <c r="AW13" s="1073"/>
      <c r="AY13" s="1072" t="s">
        <v>215</v>
      </c>
      <c r="AZ13" s="1072"/>
      <c r="BA13" s="1073"/>
      <c r="BC13" s="1072" t="s">
        <v>216</v>
      </c>
      <c r="BD13" s="1072"/>
      <c r="BE13" s="1073"/>
      <c r="BF13" s="161"/>
    </row>
    <row r="14" spans="1:58" ht="13.5" thickBot="1" x14ac:dyDescent="0.25">
      <c r="A14" s="159"/>
      <c r="B14" s="1074"/>
      <c r="C14" s="1074"/>
      <c r="D14" s="1075"/>
      <c r="F14" s="1074"/>
      <c r="G14" s="1074"/>
      <c r="H14" s="1075"/>
      <c r="J14" s="1074"/>
      <c r="K14" s="1074"/>
      <c r="L14" s="1075"/>
      <c r="O14" s="1074">
        <f>D7*5</f>
        <v>75</v>
      </c>
      <c r="P14" s="1109"/>
      <c r="Q14" s="1110"/>
      <c r="S14" s="1076">
        <v>11</v>
      </c>
      <c r="T14" s="1076"/>
      <c r="U14" s="1077"/>
      <c r="W14" s="1076">
        <v>13</v>
      </c>
      <c r="X14" s="1076"/>
      <c r="Y14" s="1077"/>
      <c r="Z14" s="161"/>
      <c r="AG14" s="159"/>
      <c r="AH14" s="1074"/>
      <c r="AI14" s="1074"/>
      <c r="AJ14" s="1075"/>
      <c r="AL14" s="1074"/>
      <c r="AM14" s="1074"/>
      <c r="AN14" s="1075"/>
      <c r="AP14" s="1074"/>
      <c r="AQ14" s="1074"/>
      <c r="AR14" s="1075"/>
      <c r="AU14" s="1074"/>
      <c r="AV14" s="1074"/>
      <c r="AW14" s="1075"/>
      <c r="AY14" s="1076"/>
      <c r="AZ14" s="1076"/>
      <c r="BA14" s="1077"/>
      <c r="BC14" s="1076"/>
      <c r="BD14" s="1076"/>
      <c r="BE14" s="1077"/>
      <c r="BF14" s="161"/>
    </row>
    <row r="15" spans="1:58" ht="5.0999999999999996" customHeight="1" thickBot="1" x14ac:dyDescent="0.25">
      <c r="A15" s="159"/>
      <c r="B15" s="160"/>
      <c r="C15" s="160"/>
      <c r="D15" s="160"/>
      <c r="E15" s="160"/>
      <c r="R15" s="160"/>
      <c r="S15" s="160"/>
      <c r="T15" s="160"/>
      <c r="U15" s="160"/>
      <c r="V15" s="160"/>
      <c r="W15" s="160"/>
      <c r="X15" s="160"/>
      <c r="Y15" s="160"/>
      <c r="Z15" s="161"/>
      <c r="AG15" s="159"/>
      <c r="AH15" s="160"/>
      <c r="AI15" s="160"/>
      <c r="AJ15" s="160"/>
      <c r="AK15" s="160"/>
      <c r="AX15" s="160"/>
      <c r="AY15" s="160"/>
      <c r="AZ15" s="160"/>
      <c r="BA15" s="160"/>
      <c r="BB15" s="160"/>
      <c r="BC15" s="160"/>
      <c r="BD15" s="160"/>
      <c r="BE15" s="160"/>
      <c r="BF15" s="161"/>
    </row>
    <row r="16" spans="1:58" ht="12.75" customHeight="1" x14ac:dyDescent="0.2">
      <c r="A16" s="159"/>
      <c r="B16" s="1078" t="s">
        <v>229</v>
      </c>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80"/>
      <c r="Z16" s="161"/>
      <c r="AG16" s="159"/>
      <c r="AH16" s="1078" t="s">
        <v>229</v>
      </c>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0"/>
      <c r="BF16" s="161"/>
    </row>
    <row r="17" spans="1:58" ht="12.75" customHeight="1" x14ac:dyDescent="0.2">
      <c r="A17" s="159"/>
      <c r="B17" s="1098" t="s">
        <v>227</v>
      </c>
      <c r="C17" s="911"/>
      <c r="D17" s="911"/>
      <c r="E17" s="911"/>
      <c r="F17" s="911"/>
      <c r="G17" s="911"/>
      <c r="H17" s="911"/>
      <c r="I17" s="911"/>
      <c r="J17" s="911"/>
      <c r="K17" s="911"/>
      <c r="L17" s="911"/>
      <c r="M17" s="911"/>
      <c r="N17" s="911"/>
      <c r="O17" s="911"/>
      <c r="P17" s="911"/>
      <c r="Q17" s="911"/>
      <c r="R17" s="911"/>
      <c r="S17" s="911"/>
      <c r="T17" s="911"/>
      <c r="U17" s="911"/>
      <c r="V17" s="911"/>
      <c r="W17" s="911"/>
      <c r="X17" s="911"/>
      <c r="Y17" s="1099"/>
      <c r="Z17" s="161"/>
      <c r="AG17" s="159"/>
      <c r="AH17" s="1098"/>
      <c r="AI17" s="911"/>
      <c r="AJ17" s="911"/>
      <c r="AK17" s="911"/>
      <c r="AL17" s="911"/>
      <c r="AM17" s="911"/>
      <c r="AN17" s="911"/>
      <c r="AO17" s="911"/>
      <c r="AP17" s="911"/>
      <c r="AQ17" s="911"/>
      <c r="AR17" s="911"/>
      <c r="AS17" s="911"/>
      <c r="AT17" s="911"/>
      <c r="AU17" s="911"/>
      <c r="AV17" s="911"/>
      <c r="AW17" s="911"/>
      <c r="AX17" s="911"/>
      <c r="AY17" s="911"/>
      <c r="AZ17" s="911"/>
      <c r="BA17" s="911"/>
      <c r="BB17" s="911"/>
      <c r="BC17" s="911"/>
      <c r="BD17" s="911"/>
      <c r="BE17" s="1099"/>
      <c r="BF17" s="161"/>
    </row>
    <row r="18" spans="1:58" ht="12.75" customHeight="1" x14ac:dyDescent="0.2">
      <c r="A18" s="159"/>
      <c r="B18" s="1098" t="s">
        <v>228</v>
      </c>
      <c r="C18" s="911"/>
      <c r="D18" s="911"/>
      <c r="E18" s="911"/>
      <c r="F18" s="911"/>
      <c r="G18" s="911"/>
      <c r="H18" s="911"/>
      <c r="I18" s="911"/>
      <c r="J18" s="911"/>
      <c r="K18" s="911"/>
      <c r="L18" s="911"/>
      <c r="M18" s="911"/>
      <c r="N18" s="911"/>
      <c r="O18" s="911"/>
      <c r="P18" s="911"/>
      <c r="Q18" s="911"/>
      <c r="R18" s="911"/>
      <c r="S18" s="911"/>
      <c r="T18" s="911"/>
      <c r="U18" s="911"/>
      <c r="V18" s="911"/>
      <c r="W18" s="911"/>
      <c r="X18" s="911"/>
      <c r="Y18" s="1099"/>
      <c r="Z18" s="161"/>
      <c r="AG18" s="159"/>
      <c r="AH18" s="1098"/>
      <c r="AI18" s="911"/>
      <c r="AJ18" s="911"/>
      <c r="AK18" s="911"/>
      <c r="AL18" s="911"/>
      <c r="AM18" s="911"/>
      <c r="AN18" s="911"/>
      <c r="AO18" s="911"/>
      <c r="AP18" s="911"/>
      <c r="AQ18" s="911"/>
      <c r="AR18" s="911"/>
      <c r="AS18" s="911"/>
      <c r="AT18" s="911"/>
      <c r="AU18" s="911"/>
      <c r="AV18" s="911"/>
      <c r="AW18" s="911"/>
      <c r="AX18" s="911"/>
      <c r="AY18" s="911"/>
      <c r="AZ18" s="911"/>
      <c r="BA18" s="911"/>
      <c r="BB18" s="911"/>
      <c r="BC18" s="911"/>
      <c r="BD18" s="911"/>
      <c r="BE18" s="1099"/>
      <c r="BF18" s="161"/>
    </row>
    <row r="19" spans="1:58" ht="12.75" customHeight="1" thickBot="1" x14ac:dyDescent="0.25">
      <c r="A19" s="159"/>
      <c r="B19" s="1103"/>
      <c r="C19" s="1104"/>
      <c r="D19" s="1104"/>
      <c r="E19" s="1104"/>
      <c r="F19" s="1104"/>
      <c r="G19" s="1104"/>
      <c r="H19" s="1104"/>
      <c r="I19" s="1104"/>
      <c r="J19" s="1104"/>
      <c r="K19" s="1104"/>
      <c r="L19" s="1104"/>
      <c r="M19" s="1104"/>
      <c r="N19" s="1104"/>
      <c r="O19" s="1104"/>
      <c r="P19" s="1104"/>
      <c r="Q19" s="1104"/>
      <c r="R19" s="1104"/>
      <c r="S19" s="1104"/>
      <c r="T19" s="1104"/>
      <c r="U19" s="1104"/>
      <c r="V19" s="1104"/>
      <c r="W19" s="1104"/>
      <c r="X19" s="1104"/>
      <c r="Y19" s="1105"/>
      <c r="Z19" s="161"/>
      <c r="AG19" s="159"/>
      <c r="AH19" s="1103"/>
      <c r="AI19" s="1104"/>
      <c r="AJ19" s="1104"/>
      <c r="AK19" s="1104"/>
      <c r="AL19" s="1104"/>
      <c r="AM19" s="1104"/>
      <c r="AN19" s="1104"/>
      <c r="AO19" s="1104"/>
      <c r="AP19" s="1104"/>
      <c r="AQ19" s="1104"/>
      <c r="AR19" s="1104"/>
      <c r="AS19" s="1104"/>
      <c r="AT19" s="1104"/>
      <c r="AU19" s="1104"/>
      <c r="AV19" s="1104"/>
      <c r="AW19" s="1104"/>
      <c r="AX19" s="1104"/>
      <c r="AY19" s="1104"/>
      <c r="AZ19" s="1104"/>
      <c r="BA19" s="1104"/>
      <c r="BB19" s="1104"/>
      <c r="BC19" s="1104"/>
      <c r="BD19" s="1104"/>
      <c r="BE19" s="1105"/>
      <c r="BF19" s="161"/>
    </row>
    <row r="20" spans="1:58" ht="4.5" customHeight="1" thickBot="1" x14ac:dyDescent="0.25">
      <c r="A20" s="159"/>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1"/>
      <c r="AG20" s="159"/>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1"/>
    </row>
    <row r="21" spans="1:58" ht="12.75" customHeight="1" x14ac:dyDescent="0.2">
      <c r="A21" s="159"/>
      <c r="B21" s="1100" t="s">
        <v>230</v>
      </c>
      <c r="C21" s="1101"/>
      <c r="D21" s="1101"/>
      <c r="E21" s="1101"/>
      <c r="F21" s="1101"/>
      <c r="G21" s="1101"/>
      <c r="H21" s="1101"/>
      <c r="I21" s="1101"/>
      <c r="J21" s="1101"/>
      <c r="K21" s="1101"/>
      <c r="L21" s="1101"/>
      <c r="M21" s="1101"/>
      <c r="N21" s="1101"/>
      <c r="O21" s="1101"/>
      <c r="P21" s="1101"/>
      <c r="Q21" s="1101"/>
      <c r="R21" s="1101"/>
      <c r="S21" s="1101"/>
      <c r="T21" s="1101"/>
      <c r="U21" s="1101"/>
      <c r="V21" s="1101"/>
      <c r="W21" s="1101"/>
      <c r="X21" s="1101"/>
      <c r="Y21" s="1102"/>
      <c r="Z21" s="161"/>
      <c r="AG21" s="159"/>
      <c r="AH21" s="1100" t="s">
        <v>230</v>
      </c>
      <c r="AI21" s="1101"/>
      <c r="AJ21" s="1101"/>
      <c r="AK21" s="1101"/>
      <c r="AL21" s="1101"/>
      <c r="AM21" s="1101"/>
      <c r="AN21" s="1101"/>
      <c r="AO21" s="1101"/>
      <c r="AP21" s="1101"/>
      <c r="AQ21" s="1101"/>
      <c r="AR21" s="1101"/>
      <c r="AS21" s="1101"/>
      <c r="AT21" s="1101"/>
      <c r="AU21" s="1101"/>
      <c r="AV21" s="1101"/>
      <c r="AW21" s="1101"/>
      <c r="AX21" s="1101"/>
      <c r="AY21" s="1101"/>
      <c r="AZ21" s="1101"/>
      <c r="BA21" s="1101"/>
      <c r="BB21" s="1101"/>
      <c r="BC21" s="1101"/>
      <c r="BD21" s="1101"/>
      <c r="BE21" s="1102"/>
      <c r="BF21" s="161"/>
    </row>
    <row r="22" spans="1:58" ht="12.75" customHeight="1" x14ac:dyDescent="0.2">
      <c r="A22" s="159"/>
      <c r="B22" s="1096"/>
      <c r="C22" s="911"/>
      <c r="D22" s="911"/>
      <c r="E22" s="911"/>
      <c r="F22" s="911"/>
      <c r="G22" s="911"/>
      <c r="H22" s="911"/>
      <c r="I22" s="911"/>
      <c r="J22" s="911"/>
      <c r="K22" s="911"/>
      <c r="L22" s="911"/>
      <c r="M22" s="911"/>
      <c r="N22" s="911"/>
      <c r="O22" s="911"/>
      <c r="P22" s="911"/>
      <c r="Q22" s="911"/>
      <c r="R22" s="911"/>
      <c r="S22" s="911"/>
      <c r="T22" s="911"/>
      <c r="U22" s="911"/>
      <c r="V22" s="911"/>
      <c r="W22" s="911"/>
      <c r="X22" s="911"/>
      <c r="Y22" s="1097"/>
      <c r="Z22" s="161"/>
      <c r="AG22" s="159"/>
      <c r="AH22" s="1096"/>
      <c r="AI22" s="911"/>
      <c r="AJ22" s="911"/>
      <c r="AK22" s="911"/>
      <c r="AL22" s="911"/>
      <c r="AM22" s="911"/>
      <c r="AN22" s="911"/>
      <c r="AO22" s="911"/>
      <c r="AP22" s="911"/>
      <c r="AQ22" s="911"/>
      <c r="AR22" s="911"/>
      <c r="AS22" s="911"/>
      <c r="AT22" s="911"/>
      <c r="AU22" s="911"/>
      <c r="AV22" s="911"/>
      <c r="AW22" s="911"/>
      <c r="AX22" s="911"/>
      <c r="AY22" s="911"/>
      <c r="AZ22" s="911"/>
      <c r="BA22" s="911"/>
      <c r="BB22" s="911"/>
      <c r="BC22" s="911"/>
      <c r="BD22" s="911"/>
      <c r="BE22" s="1097"/>
      <c r="BF22" s="161"/>
    </row>
    <row r="23" spans="1:58" ht="12.75" customHeight="1" x14ac:dyDescent="0.2">
      <c r="A23" s="159"/>
      <c r="B23" s="1096"/>
      <c r="C23" s="911"/>
      <c r="D23" s="911"/>
      <c r="E23" s="911"/>
      <c r="F23" s="911"/>
      <c r="G23" s="911"/>
      <c r="H23" s="911"/>
      <c r="I23" s="911"/>
      <c r="J23" s="911"/>
      <c r="K23" s="911"/>
      <c r="L23" s="911"/>
      <c r="M23" s="911"/>
      <c r="N23" s="911"/>
      <c r="O23" s="911"/>
      <c r="P23" s="911"/>
      <c r="Q23" s="911"/>
      <c r="R23" s="911"/>
      <c r="S23" s="911"/>
      <c r="T23" s="911"/>
      <c r="U23" s="911"/>
      <c r="V23" s="911"/>
      <c r="W23" s="911"/>
      <c r="X23" s="911"/>
      <c r="Y23" s="1097"/>
      <c r="Z23" s="161"/>
      <c r="AG23" s="159"/>
      <c r="AH23" s="1096"/>
      <c r="AI23" s="911"/>
      <c r="AJ23" s="911"/>
      <c r="AK23" s="911"/>
      <c r="AL23" s="911"/>
      <c r="AM23" s="911"/>
      <c r="AN23" s="911"/>
      <c r="AO23" s="911"/>
      <c r="AP23" s="911"/>
      <c r="AQ23" s="911"/>
      <c r="AR23" s="911"/>
      <c r="AS23" s="911"/>
      <c r="AT23" s="911"/>
      <c r="AU23" s="911"/>
      <c r="AV23" s="911"/>
      <c r="AW23" s="911"/>
      <c r="AX23" s="911"/>
      <c r="AY23" s="911"/>
      <c r="AZ23" s="911"/>
      <c r="BA23" s="911"/>
      <c r="BB23" s="911"/>
      <c r="BC23" s="911"/>
      <c r="BD23" s="911"/>
      <c r="BE23" s="1097"/>
      <c r="BF23" s="161"/>
    </row>
    <row r="24" spans="1:58" ht="12.75" customHeight="1" x14ac:dyDescent="0.2">
      <c r="A24" s="159"/>
      <c r="B24" s="1096"/>
      <c r="C24" s="911"/>
      <c r="D24" s="911"/>
      <c r="E24" s="911"/>
      <c r="F24" s="911"/>
      <c r="G24" s="911"/>
      <c r="H24" s="911"/>
      <c r="I24" s="911"/>
      <c r="J24" s="911"/>
      <c r="K24" s="911"/>
      <c r="L24" s="911"/>
      <c r="M24" s="911"/>
      <c r="N24" s="911"/>
      <c r="O24" s="911"/>
      <c r="P24" s="911"/>
      <c r="Q24" s="911"/>
      <c r="R24" s="911"/>
      <c r="S24" s="911"/>
      <c r="T24" s="911"/>
      <c r="U24" s="911"/>
      <c r="V24" s="911"/>
      <c r="W24" s="911"/>
      <c r="X24" s="911"/>
      <c r="Y24" s="1097"/>
      <c r="Z24" s="161"/>
      <c r="AG24" s="159"/>
      <c r="AH24" s="1096"/>
      <c r="AI24" s="911"/>
      <c r="AJ24" s="911"/>
      <c r="AK24" s="911"/>
      <c r="AL24" s="911"/>
      <c r="AM24" s="911"/>
      <c r="AN24" s="911"/>
      <c r="AO24" s="911"/>
      <c r="AP24" s="911"/>
      <c r="AQ24" s="911"/>
      <c r="AR24" s="911"/>
      <c r="AS24" s="911"/>
      <c r="AT24" s="911"/>
      <c r="AU24" s="911"/>
      <c r="AV24" s="911"/>
      <c r="AW24" s="911"/>
      <c r="AX24" s="911"/>
      <c r="AY24" s="911"/>
      <c r="AZ24" s="911"/>
      <c r="BA24" s="911"/>
      <c r="BB24" s="911"/>
      <c r="BC24" s="911"/>
      <c r="BD24" s="911"/>
      <c r="BE24" s="1097"/>
      <c r="BF24" s="161"/>
    </row>
    <row r="25" spans="1:58" ht="12.75" customHeight="1" x14ac:dyDescent="0.2">
      <c r="A25" s="159"/>
      <c r="B25" s="1096"/>
      <c r="C25" s="911"/>
      <c r="D25" s="911"/>
      <c r="E25" s="911"/>
      <c r="F25" s="911"/>
      <c r="G25" s="911"/>
      <c r="H25" s="911"/>
      <c r="I25" s="911"/>
      <c r="J25" s="911"/>
      <c r="K25" s="911"/>
      <c r="L25" s="911"/>
      <c r="M25" s="911"/>
      <c r="N25" s="911"/>
      <c r="O25" s="911"/>
      <c r="P25" s="911"/>
      <c r="Q25" s="911"/>
      <c r="R25" s="911"/>
      <c r="S25" s="911"/>
      <c r="T25" s="911"/>
      <c r="U25" s="911"/>
      <c r="V25" s="911"/>
      <c r="W25" s="911"/>
      <c r="X25" s="911"/>
      <c r="Y25" s="1097"/>
      <c r="Z25" s="161"/>
      <c r="AG25" s="159"/>
      <c r="AH25" s="1096"/>
      <c r="AI25" s="911"/>
      <c r="AJ25" s="911"/>
      <c r="AK25" s="911"/>
      <c r="AL25" s="911"/>
      <c r="AM25" s="911"/>
      <c r="AN25" s="911"/>
      <c r="AO25" s="911"/>
      <c r="AP25" s="911"/>
      <c r="AQ25" s="911"/>
      <c r="AR25" s="911"/>
      <c r="AS25" s="911"/>
      <c r="AT25" s="911"/>
      <c r="AU25" s="911"/>
      <c r="AV25" s="911"/>
      <c r="AW25" s="911"/>
      <c r="AX25" s="911"/>
      <c r="AY25" s="911"/>
      <c r="AZ25" s="911"/>
      <c r="BA25" s="911"/>
      <c r="BB25" s="911"/>
      <c r="BC25" s="911"/>
      <c r="BD25" s="911"/>
      <c r="BE25" s="1097"/>
      <c r="BF25" s="161"/>
    </row>
    <row r="26" spans="1:58" ht="12.75" customHeight="1" x14ac:dyDescent="0.2">
      <c r="A26" s="159"/>
      <c r="B26" s="1096"/>
      <c r="C26" s="911"/>
      <c r="D26" s="911"/>
      <c r="E26" s="911"/>
      <c r="F26" s="911"/>
      <c r="G26" s="911"/>
      <c r="H26" s="911"/>
      <c r="I26" s="911"/>
      <c r="J26" s="911"/>
      <c r="K26" s="911"/>
      <c r="L26" s="911"/>
      <c r="M26" s="911"/>
      <c r="N26" s="911"/>
      <c r="O26" s="911"/>
      <c r="P26" s="911"/>
      <c r="Q26" s="911"/>
      <c r="R26" s="911"/>
      <c r="S26" s="911"/>
      <c r="T26" s="911"/>
      <c r="U26" s="911"/>
      <c r="V26" s="911"/>
      <c r="W26" s="911"/>
      <c r="X26" s="911"/>
      <c r="Y26" s="1097"/>
      <c r="Z26" s="161"/>
      <c r="AG26" s="159"/>
      <c r="AH26" s="1096"/>
      <c r="AI26" s="911"/>
      <c r="AJ26" s="911"/>
      <c r="AK26" s="911"/>
      <c r="AL26" s="911"/>
      <c r="AM26" s="911"/>
      <c r="AN26" s="911"/>
      <c r="AO26" s="911"/>
      <c r="AP26" s="911"/>
      <c r="AQ26" s="911"/>
      <c r="AR26" s="911"/>
      <c r="AS26" s="911"/>
      <c r="AT26" s="911"/>
      <c r="AU26" s="911"/>
      <c r="AV26" s="911"/>
      <c r="AW26" s="911"/>
      <c r="AX26" s="911"/>
      <c r="AY26" s="911"/>
      <c r="AZ26" s="911"/>
      <c r="BA26" s="911"/>
      <c r="BB26" s="911"/>
      <c r="BC26" s="911"/>
      <c r="BD26" s="911"/>
      <c r="BE26" s="1097"/>
      <c r="BF26" s="161"/>
    </row>
    <row r="27" spans="1:58" ht="12.75" customHeight="1" x14ac:dyDescent="0.2">
      <c r="A27" s="159"/>
      <c r="B27" s="1096"/>
      <c r="C27" s="911"/>
      <c r="D27" s="911"/>
      <c r="E27" s="911"/>
      <c r="F27" s="911"/>
      <c r="G27" s="911"/>
      <c r="H27" s="911"/>
      <c r="I27" s="911"/>
      <c r="J27" s="911"/>
      <c r="K27" s="911"/>
      <c r="L27" s="911"/>
      <c r="M27" s="911"/>
      <c r="N27" s="911"/>
      <c r="O27" s="911"/>
      <c r="P27" s="911"/>
      <c r="Q27" s="911"/>
      <c r="R27" s="911"/>
      <c r="S27" s="911"/>
      <c r="T27" s="911"/>
      <c r="U27" s="911"/>
      <c r="V27" s="911"/>
      <c r="W27" s="911"/>
      <c r="X27" s="911"/>
      <c r="Y27" s="1097"/>
      <c r="Z27" s="161"/>
      <c r="AG27" s="159"/>
      <c r="AH27" s="1096"/>
      <c r="AI27" s="911"/>
      <c r="AJ27" s="911"/>
      <c r="AK27" s="911"/>
      <c r="AL27" s="911"/>
      <c r="AM27" s="911"/>
      <c r="AN27" s="911"/>
      <c r="AO27" s="911"/>
      <c r="AP27" s="911"/>
      <c r="AQ27" s="911"/>
      <c r="AR27" s="911"/>
      <c r="AS27" s="911"/>
      <c r="AT27" s="911"/>
      <c r="AU27" s="911"/>
      <c r="AV27" s="911"/>
      <c r="AW27" s="911"/>
      <c r="AX27" s="911"/>
      <c r="AY27" s="911"/>
      <c r="AZ27" s="911"/>
      <c r="BA27" s="911"/>
      <c r="BB27" s="911"/>
      <c r="BC27" s="911"/>
      <c r="BD27" s="911"/>
      <c r="BE27" s="1097"/>
      <c r="BF27" s="161"/>
    </row>
    <row r="28" spans="1:58" ht="12.75" customHeight="1" x14ac:dyDescent="0.2">
      <c r="A28" s="159"/>
      <c r="B28" s="1096"/>
      <c r="C28" s="911"/>
      <c r="D28" s="911"/>
      <c r="E28" s="911"/>
      <c r="F28" s="911"/>
      <c r="G28" s="911"/>
      <c r="H28" s="911"/>
      <c r="I28" s="911"/>
      <c r="J28" s="911"/>
      <c r="K28" s="911"/>
      <c r="L28" s="911"/>
      <c r="M28" s="911"/>
      <c r="N28" s="911"/>
      <c r="O28" s="911"/>
      <c r="P28" s="911"/>
      <c r="Q28" s="911"/>
      <c r="R28" s="911"/>
      <c r="S28" s="911"/>
      <c r="T28" s="911"/>
      <c r="U28" s="911"/>
      <c r="V28" s="911"/>
      <c r="W28" s="911"/>
      <c r="X28" s="911"/>
      <c r="Y28" s="1097"/>
      <c r="Z28" s="161"/>
      <c r="AG28" s="159"/>
      <c r="AH28" s="1096"/>
      <c r="AI28" s="911"/>
      <c r="AJ28" s="911"/>
      <c r="AK28" s="911"/>
      <c r="AL28" s="911"/>
      <c r="AM28" s="911"/>
      <c r="AN28" s="911"/>
      <c r="AO28" s="911"/>
      <c r="AP28" s="911"/>
      <c r="AQ28" s="911"/>
      <c r="AR28" s="911"/>
      <c r="AS28" s="911"/>
      <c r="AT28" s="911"/>
      <c r="AU28" s="911"/>
      <c r="AV28" s="911"/>
      <c r="AW28" s="911"/>
      <c r="AX28" s="911"/>
      <c r="AY28" s="911"/>
      <c r="AZ28" s="911"/>
      <c r="BA28" s="911"/>
      <c r="BB28" s="911"/>
      <c r="BC28" s="911"/>
      <c r="BD28" s="911"/>
      <c r="BE28" s="1097"/>
      <c r="BF28" s="161"/>
    </row>
    <row r="29" spans="1:58" ht="12.75" customHeight="1" x14ac:dyDescent="0.2">
      <c r="A29" s="159"/>
      <c r="B29" s="1096"/>
      <c r="C29" s="911"/>
      <c r="D29" s="911"/>
      <c r="E29" s="911"/>
      <c r="F29" s="911"/>
      <c r="G29" s="911"/>
      <c r="H29" s="911"/>
      <c r="I29" s="911"/>
      <c r="J29" s="911"/>
      <c r="K29" s="911"/>
      <c r="L29" s="911"/>
      <c r="M29" s="911"/>
      <c r="N29" s="911"/>
      <c r="O29" s="911"/>
      <c r="P29" s="911"/>
      <c r="Q29" s="911"/>
      <c r="R29" s="911"/>
      <c r="S29" s="911"/>
      <c r="T29" s="911"/>
      <c r="U29" s="911"/>
      <c r="V29" s="911"/>
      <c r="W29" s="911"/>
      <c r="X29" s="911"/>
      <c r="Y29" s="1097"/>
      <c r="Z29" s="161"/>
      <c r="AG29" s="159"/>
      <c r="AH29" s="1096"/>
      <c r="AI29" s="911"/>
      <c r="AJ29" s="911"/>
      <c r="AK29" s="911"/>
      <c r="AL29" s="911"/>
      <c r="AM29" s="911"/>
      <c r="AN29" s="911"/>
      <c r="AO29" s="911"/>
      <c r="AP29" s="911"/>
      <c r="AQ29" s="911"/>
      <c r="AR29" s="911"/>
      <c r="AS29" s="911"/>
      <c r="AT29" s="911"/>
      <c r="AU29" s="911"/>
      <c r="AV29" s="911"/>
      <c r="AW29" s="911"/>
      <c r="AX29" s="911"/>
      <c r="AY29" s="911"/>
      <c r="AZ29" s="911"/>
      <c r="BA29" s="911"/>
      <c r="BB29" s="911"/>
      <c r="BC29" s="911"/>
      <c r="BD29" s="911"/>
      <c r="BE29" s="1097"/>
      <c r="BF29" s="161"/>
    </row>
    <row r="30" spans="1:58" ht="12.75" customHeight="1" x14ac:dyDescent="0.2">
      <c r="A30" s="159"/>
      <c r="B30" s="1106" t="s">
        <v>232</v>
      </c>
      <c r="C30" s="1107"/>
      <c r="D30" s="1107"/>
      <c r="E30" s="1107"/>
      <c r="F30" s="1107"/>
      <c r="G30" s="1107"/>
      <c r="H30" s="1107"/>
      <c r="I30" s="1107"/>
      <c r="J30" s="1107"/>
      <c r="K30" s="1107"/>
      <c r="L30" s="1107"/>
      <c r="M30" s="1107"/>
      <c r="N30" s="1107"/>
      <c r="O30" s="1107"/>
      <c r="P30" s="1107"/>
      <c r="Q30" s="1107"/>
      <c r="R30" s="1107"/>
      <c r="S30" s="1107"/>
      <c r="T30" s="1107"/>
      <c r="U30" s="1107"/>
      <c r="V30" s="1107"/>
      <c r="W30" s="1107"/>
      <c r="X30" s="1107"/>
      <c r="Y30" s="1108"/>
      <c r="Z30" s="161"/>
      <c r="AG30" s="159"/>
      <c r="AH30" s="1096"/>
      <c r="AI30" s="911"/>
      <c r="AJ30" s="911"/>
      <c r="AK30" s="911"/>
      <c r="AL30" s="911"/>
      <c r="AM30" s="911"/>
      <c r="AN30" s="911"/>
      <c r="AO30" s="911"/>
      <c r="AP30" s="911"/>
      <c r="AQ30" s="911"/>
      <c r="AR30" s="911"/>
      <c r="AS30" s="911"/>
      <c r="AT30" s="911"/>
      <c r="AU30" s="911"/>
      <c r="AV30" s="911"/>
      <c r="AW30" s="911"/>
      <c r="AX30" s="911"/>
      <c r="AY30" s="911"/>
      <c r="AZ30" s="911"/>
      <c r="BA30" s="911"/>
      <c r="BB30" s="911"/>
      <c r="BC30" s="911"/>
      <c r="BD30" s="911"/>
      <c r="BE30" s="1097"/>
      <c r="BF30" s="161"/>
    </row>
    <row r="31" spans="1:58" ht="12.75" customHeight="1" x14ac:dyDescent="0.2">
      <c r="A31" s="159"/>
      <c r="B31" s="1096" t="s">
        <v>231</v>
      </c>
      <c r="C31" s="911"/>
      <c r="D31" s="911"/>
      <c r="E31" s="911"/>
      <c r="F31" s="911"/>
      <c r="G31" s="911"/>
      <c r="H31" s="911"/>
      <c r="I31" s="911"/>
      <c r="J31" s="911"/>
      <c r="K31" s="911"/>
      <c r="L31" s="911"/>
      <c r="M31" s="911"/>
      <c r="N31" s="911"/>
      <c r="O31" s="911"/>
      <c r="P31" s="911"/>
      <c r="Q31" s="911"/>
      <c r="R31" s="911"/>
      <c r="S31" s="911"/>
      <c r="T31" s="911"/>
      <c r="U31" s="911"/>
      <c r="V31" s="911"/>
      <c r="W31" s="911"/>
      <c r="X31" s="911"/>
      <c r="Y31" s="1097"/>
      <c r="Z31" s="161"/>
      <c r="AG31" s="159"/>
      <c r="AH31" s="1096"/>
      <c r="AI31" s="911"/>
      <c r="AJ31" s="911"/>
      <c r="AK31" s="911"/>
      <c r="AL31" s="911"/>
      <c r="AM31" s="911"/>
      <c r="AN31" s="911"/>
      <c r="AO31" s="911"/>
      <c r="AP31" s="911"/>
      <c r="AQ31" s="911"/>
      <c r="AR31" s="911"/>
      <c r="AS31" s="911"/>
      <c r="AT31" s="911"/>
      <c r="AU31" s="911"/>
      <c r="AV31" s="911"/>
      <c r="AW31" s="911"/>
      <c r="AX31" s="911"/>
      <c r="AY31" s="911"/>
      <c r="AZ31" s="911"/>
      <c r="BA31" s="911"/>
      <c r="BB31" s="911"/>
      <c r="BC31" s="911"/>
      <c r="BD31" s="911"/>
      <c r="BE31" s="1097"/>
      <c r="BF31" s="161"/>
    </row>
    <row r="32" spans="1:58" ht="12.75" customHeight="1" x14ac:dyDescent="0.2">
      <c r="A32" s="159"/>
      <c r="B32" s="1096"/>
      <c r="C32" s="911"/>
      <c r="D32" s="911"/>
      <c r="E32" s="911"/>
      <c r="F32" s="911"/>
      <c r="G32" s="911"/>
      <c r="H32" s="911"/>
      <c r="I32" s="911"/>
      <c r="J32" s="911"/>
      <c r="K32" s="911"/>
      <c r="L32" s="911"/>
      <c r="M32" s="911"/>
      <c r="N32" s="911"/>
      <c r="O32" s="911"/>
      <c r="P32" s="911"/>
      <c r="Q32" s="911"/>
      <c r="R32" s="911"/>
      <c r="S32" s="911"/>
      <c r="T32" s="911"/>
      <c r="U32" s="911"/>
      <c r="V32" s="911"/>
      <c r="W32" s="911"/>
      <c r="X32" s="911"/>
      <c r="Y32" s="1097"/>
      <c r="Z32" s="161"/>
      <c r="AG32" s="159"/>
      <c r="AH32" s="1096"/>
      <c r="AI32" s="911"/>
      <c r="AJ32" s="911"/>
      <c r="AK32" s="911"/>
      <c r="AL32" s="911"/>
      <c r="AM32" s="911"/>
      <c r="AN32" s="911"/>
      <c r="AO32" s="911"/>
      <c r="AP32" s="911"/>
      <c r="AQ32" s="911"/>
      <c r="AR32" s="911"/>
      <c r="AS32" s="911"/>
      <c r="AT32" s="911"/>
      <c r="AU32" s="911"/>
      <c r="AV32" s="911"/>
      <c r="AW32" s="911"/>
      <c r="AX32" s="911"/>
      <c r="AY32" s="911"/>
      <c r="AZ32" s="911"/>
      <c r="BA32" s="911"/>
      <c r="BB32" s="911"/>
      <c r="BC32" s="911"/>
      <c r="BD32" s="911"/>
      <c r="BE32" s="1097"/>
      <c r="BF32" s="161"/>
    </row>
    <row r="33" spans="1:58" ht="12.75" customHeight="1" x14ac:dyDescent="0.2">
      <c r="A33" s="159"/>
      <c r="B33" s="1096"/>
      <c r="C33" s="911"/>
      <c r="D33" s="911"/>
      <c r="E33" s="911"/>
      <c r="F33" s="911"/>
      <c r="G33" s="911"/>
      <c r="H33" s="911"/>
      <c r="I33" s="911"/>
      <c r="J33" s="911"/>
      <c r="K33" s="911"/>
      <c r="L33" s="911"/>
      <c r="M33" s="911"/>
      <c r="N33" s="911"/>
      <c r="O33" s="911"/>
      <c r="P33" s="911"/>
      <c r="Q33" s="911"/>
      <c r="R33" s="911"/>
      <c r="S33" s="911"/>
      <c r="T33" s="911"/>
      <c r="U33" s="911"/>
      <c r="V33" s="911"/>
      <c r="W33" s="911"/>
      <c r="X33" s="911"/>
      <c r="Y33" s="1097"/>
      <c r="Z33" s="161"/>
      <c r="AG33" s="159"/>
      <c r="AH33" s="1096"/>
      <c r="AI33" s="911"/>
      <c r="AJ33" s="911"/>
      <c r="AK33" s="911"/>
      <c r="AL33" s="911"/>
      <c r="AM33" s="911"/>
      <c r="AN33" s="911"/>
      <c r="AO33" s="911"/>
      <c r="AP33" s="911"/>
      <c r="AQ33" s="911"/>
      <c r="AR33" s="911"/>
      <c r="AS33" s="911"/>
      <c r="AT33" s="911"/>
      <c r="AU33" s="911"/>
      <c r="AV33" s="911"/>
      <c r="AW33" s="911"/>
      <c r="AX33" s="911"/>
      <c r="AY33" s="911"/>
      <c r="AZ33" s="911"/>
      <c r="BA33" s="911"/>
      <c r="BB33" s="911"/>
      <c r="BC33" s="911"/>
      <c r="BD33" s="911"/>
      <c r="BE33" s="1097"/>
      <c r="BF33" s="161"/>
    </row>
    <row r="34" spans="1:58" ht="12.75" customHeight="1" thickBot="1" x14ac:dyDescent="0.25">
      <c r="A34" s="159"/>
      <c r="B34" s="1094"/>
      <c r="C34" s="919"/>
      <c r="D34" s="919"/>
      <c r="E34" s="919"/>
      <c r="F34" s="919"/>
      <c r="G34" s="919"/>
      <c r="H34" s="919"/>
      <c r="I34" s="919"/>
      <c r="J34" s="919"/>
      <c r="K34" s="919"/>
      <c r="L34" s="919"/>
      <c r="M34" s="919"/>
      <c r="N34" s="919"/>
      <c r="O34" s="919"/>
      <c r="P34" s="919"/>
      <c r="Q34" s="919"/>
      <c r="R34" s="919"/>
      <c r="S34" s="919"/>
      <c r="T34" s="919"/>
      <c r="U34" s="919"/>
      <c r="V34" s="919"/>
      <c r="W34" s="919"/>
      <c r="X34" s="919"/>
      <c r="Y34" s="1095"/>
      <c r="Z34" s="161"/>
      <c r="AG34" s="159"/>
      <c r="AH34" s="1094"/>
      <c r="AI34" s="919"/>
      <c r="AJ34" s="919"/>
      <c r="AK34" s="919"/>
      <c r="AL34" s="919"/>
      <c r="AM34" s="919"/>
      <c r="AN34" s="919"/>
      <c r="AO34" s="919"/>
      <c r="AP34" s="919"/>
      <c r="AQ34" s="919"/>
      <c r="AR34" s="919"/>
      <c r="AS34" s="919"/>
      <c r="AT34" s="919"/>
      <c r="AU34" s="919"/>
      <c r="AV34" s="919"/>
      <c r="AW34" s="919"/>
      <c r="AX34" s="919"/>
      <c r="AY34" s="919"/>
      <c r="AZ34" s="919"/>
      <c r="BA34" s="919"/>
      <c r="BB34" s="919"/>
      <c r="BC34" s="919"/>
      <c r="BD34" s="919"/>
      <c r="BE34" s="1095"/>
      <c r="BF34" s="161"/>
    </row>
    <row r="35" spans="1:58" ht="12.75" customHeight="1" thickBot="1" x14ac:dyDescent="0.25">
      <c r="A35" s="163"/>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5"/>
      <c r="AG35" s="163"/>
      <c r="AH35" s="164"/>
      <c r="AI35" s="164"/>
      <c r="AJ35" s="164"/>
      <c r="AK35" s="164"/>
      <c r="AL35" s="164"/>
      <c r="AM35" s="164"/>
      <c r="AN35" s="164"/>
      <c r="AO35" s="164"/>
      <c r="AP35" s="164"/>
      <c r="AQ35" s="164"/>
      <c r="AR35" s="164"/>
      <c r="AS35" s="164"/>
      <c r="AT35" s="164"/>
      <c r="AU35" s="164"/>
      <c r="AV35" s="164"/>
      <c r="AW35" s="164"/>
      <c r="AX35" s="164"/>
      <c r="AY35" s="164"/>
      <c r="AZ35" s="164"/>
      <c r="BA35" s="164"/>
      <c r="BB35" s="164"/>
      <c r="BC35" s="164"/>
      <c r="BD35" s="164"/>
      <c r="BE35" s="164"/>
      <c r="BF35" s="165"/>
    </row>
    <row r="36" spans="1:58" ht="12.75" customHeight="1" thickBot="1" x14ac:dyDescent="0.25">
      <c r="A36" s="160"/>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row>
    <row r="37" spans="1:58" ht="12.75" customHeight="1" thickBot="1" x14ac:dyDescent="0.25">
      <c r="A37" s="1084" t="s">
        <v>3</v>
      </c>
      <c r="B37" s="1084"/>
      <c r="C37" s="1084"/>
      <c r="D37" s="1084"/>
      <c r="E37" s="1084"/>
      <c r="F37" s="1085"/>
      <c r="G37" s="1085"/>
      <c r="H37" s="1085"/>
      <c r="I37" s="1085"/>
      <c r="J37" s="1085"/>
      <c r="K37" s="1085"/>
      <c r="L37" s="1085"/>
      <c r="M37" s="1085"/>
      <c r="N37" s="1085"/>
      <c r="O37" s="1085"/>
      <c r="P37" s="1085"/>
      <c r="Q37" s="1085"/>
      <c r="R37" s="1085"/>
      <c r="S37" s="1085"/>
      <c r="T37" s="1085"/>
      <c r="U37" s="1068" t="s">
        <v>1</v>
      </c>
      <c r="V37" s="1068"/>
      <c r="W37" s="1068"/>
      <c r="X37" s="1086"/>
      <c r="Y37" s="1086"/>
      <c r="Z37" s="1086"/>
      <c r="AG37" s="1084" t="s">
        <v>3</v>
      </c>
      <c r="AH37" s="1084"/>
      <c r="AI37" s="1084"/>
      <c r="AJ37" s="1084"/>
      <c r="AK37" s="1084"/>
      <c r="AL37" s="1085"/>
      <c r="AM37" s="1085"/>
      <c r="AN37" s="1085"/>
      <c r="AO37" s="1085"/>
      <c r="AP37" s="1085"/>
      <c r="AQ37" s="1085"/>
      <c r="AR37" s="1085"/>
      <c r="AS37" s="1085"/>
      <c r="AT37" s="1085"/>
      <c r="AU37" s="1085"/>
      <c r="AV37" s="1085"/>
      <c r="AW37" s="1085"/>
      <c r="AX37" s="1085"/>
      <c r="AY37" s="1085"/>
      <c r="AZ37" s="1085"/>
      <c r="BA37" s="1068" t="s">
        <v>1</v>
      </c>
      <c r="BB37" s="1068"/>
      <c r="BC37" s="1068"/>
      <c r="BD37" s="1086"/>
      <c r="BE37" s="1086"/>
      <c r="BF37" s="1086"/>
    </row>
    <row r="38" spans="1:58" ht="12.75" customHeight="1" thickBot="1" x14ac:dyDescent="0.25">
      <c r="A38" s="159"/>
      <c r="B38" s="160"/>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1"/>
      <c r="AG38" s="159"/>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1"/>
    </row>
    <row r="39" spans="1:58" ht="12.75" customHeight="1" thickBot="1" x14ac:dyDescent="0.25">
      <c r="A39" s="159"/>
      <c r="B39" s="1068" t="s">
        <v>181</v>
      </c>
      <c r="C39" s="1068"/>
      <c r="D39" s="1068"/>
      <c r="E39" s="1069"/>
      <c r="F39" s="1069"/>
      <c r="G39" s="1069"/>
      <c r="H39" s="1069"/>
      <c r="I39" s="1069"/>
      <c r="J39" s="1069"/>
      <c r="K39" s="1069"/>
      <c r="L39" s="1069"/>
      <c r="M39" s="1069"/>
      <c r="N39" s="1069"/>
      <c r="O39" s="1069"/>
      <c r="P39" s="1069"/>
      <c r="Q39" s="1069"/>
      <c r="R39" s="1069"/>
      <c r="S39" s="1069"/>
      <c r="T39" s="1069"/>
      <c r="U39" s="1069"/>
      <c r="V39" s="1069"/>
      <c r="W39" s="1069"/>
      <c r="X39" s="1069"/>
      <c r="Y39" s="1069"/>
      <c r="Z39" s="161"/>
      <c r="AG39" s="159"/>
      <c r="AH39" s="1068" t="s">
        <v>181</v>
      </c>
      <c r="AI39" s="1068"/>
      <c r="AJ39" s="1068"/>
      <c r="AK39" s="1069"/>
      <c r="AL39" s="1069"/>
      <c r="AM39" s="1069"/>
      <c r="AN39" s="1069"/>
      <c r="AO39" s="1069"/>
      <c r="AP39" s="1069"/>
      <c r="AQ39" s="1069"/>
      <c r="AR39" s="1069"/>
      <c r="AS39" s="1069"/>
      <c r="AT39" s="1069"/>
      <c r="AU39" s="1069"/>
      <c r="AV39" s="1069"/>
      <c r="AW39" s="1069"/>
      <c r="AX39" s="1069"/>
      <c r="AY39" s="1069"/>
      <c r="AZ39" s="1069"/>
      <c r="BA39" s="1069"/>
      <c r="BB39" s="1069"/>
      <c r="BC39" s="1069"/>
      <c r="BD39" s="1069"/>
      <c r="BE39" s="1069"/>
      <c r="BF39" s="161"/>
    </row>
    <row r="40" spans="1:58" ht="12.75" customHeight="1" thickBot="1" x14ac:dyDescent="0.25">
      <c r="A40" s="159"/>
      <c r="B40" s="160"/>
      <c r="C40" s="160"/>
      <c r="D40" s="160"/>
      <c r="E40" s="160"/>
      <c r="F40" s="160"/>
      <c r="G40" s="160"/>
      <c r="H40" s="160"/>
      <c r="I40" s="160"/>
      <c r="J40" s="160"/>
      <c r="K40" s="160"/>
      <c r="L40" s="160"/>
      <c r="M40" s="160"/>
      <c r="N40" s="160"/>
      <c r="O40" s="160"/>
      <c r="P40" s="160"/>
      <c r="Q40" s="160"/>
      <c r="R40" s="160"/>
      <c r="S40" s="160"/>
      <c r="T40" s="160"/>
      <c r="U40" s="160"/>
      <c r="V40" s="160"/>
      <c r="W40" s="160"/>
      <c r="X40" s="160"/>
      <c r="Y40" s="160"/>
      <c r="Z40" s="161"/>
      <c r="AG40" s="159"/>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1"/>
    </row>
    <row r="41" spans="1:58" ht="12.75" customHeight="1" x14ac:dyDescent="0.2">
      <c r="A41" s="159"/>
      <c r="B41" s="1072" t="s">
        <v>19</v>
      </c>
      <c r="C41" s="1072"/>
      <c r="D41" s="1091"/>
      <c r="E41" s="1091"/>
      <c r="F41" s="1066"/>
      <c r="G41" s="1064"/>
      <c r="H41" s="1063"/>
      <c r="I41" s="1064"/>
      <c r="J41" s="1063"/>
      <c r="K41" s="1064"/>
      <c r="L41" s="1063"/>
      <c r="M41" s="1064"/>
      <c r="N41" s="1063"/>
      <c r="O41" s="1064"/>
      <c r="P41" s="1063"/>
      <c r="Q41" s="1064"/>
      <c r="R41" s="1063"/>
      <c r="S41" s="1064"/>
      <c r="T41" s="1063"/>
      <c r="U41" s="1064"/>
      <c r="V41" s="1063"/>
      <c r="W41" s="1064"/>
      <c r="X41" s="1063"/>
      <c r="Y41" s="1065"/>
      <c r="Z41" s="161"/>
      <c r="AG41" s="159"/>
      <c r="AH41" s="1072" t="s">
        <v>19</v>
      </c>
      <c r="AI41" s="1072"/>
      <c r="AJ41" s="1091"/>
      <c r="AK41" s="1091"/>
      <c r="AL41" s="1066"/>
      <c r="AM41" s="1064"/>
      <c r="AN41" s="1063"/>
      <c r="AO41" s="1064"/>
      <c r="AP41" s="1063"/>
      <c r="AQ41" s="1064"/>
      <c r="AR41" s="1063"/>
      <c r="AS41" s="1064"/>
      <c r="AT41" s="1063"/>
      <c r="AU41" s="1064"/>
      <c r="AV41" s="1063"/>
      <c r="AW41" s="1064"/>
      <c r="AX41" s="1063"/>
      <c r="AY41" s="1064"/>
      <c r="AZ41" s="1063"/>
      <c r="BA41" s="1064"/>
      <c r="BB41" s="1063"/>
      <c r="BC41" s="1064"/>
      <c r="BD41" s="1063"/>
      <c r="BE41" s="1065"/>
      <c r="BF41" s="161"/>
    </row>
    <row r="42" spans="1:58" ht="12.75" customHeight="1" thickBot="1" x14ac:dyDescent="0.25">
      <c r="A42" s="159"/>
      <c r="B42" s="1092" t="s">
        <v>27</v>
      </c>
      <c r="C42" s="1092"/>
      <c r="D42" s="1093"/>
      <c r="E42" s="1093"/>
      <c r="F42" s="1067"/>
      <c r="G42" s="1061"/>
      <c r="H42" s="1060"/>
      <c r="I42" s="1061"/>
      <c r="J42" s="1060"/>
      <c r="K42" s="1061"/>
      <c r="L42" s="1060"/>
      <c r="M42" s="1061"/>
      <c r="N42" s="1060"/>
      <c r="O42" s="1061"/>
      <c r="P42" s="1060"/>
      <c r="Q42" s="1061"/>
      <c r="R42" s="1060"/>
      <c r="S42" s="1061"/>
      <c r="T42" s="1060"/>
      <c r="U42" s="1061"/>
      <c r="V42" s="1060"/>
      <c r="W42" s="1061"/>
      <c r="X42" s="1060"/>
      <c r="Y42" s="1062"/>
      <c r="Z42" s="161"/>
      <c r="AG42" s="159"/>
      <c r="AH42" s="1092" t="s">
        <v>27</v>
      </c>
      <c r="AI42" s="1092"/>
      <c r="AJ42" s="1093"/>
      <c r="AK42" s="1093"/>
      <c r="AL42" s="1067"/>
      <c r="AM42" s="1061"/>
      <c r="AN42" s="1060"/>
      <c r="AO42" s="1061"/>
      <c r="AP42" s="1060"/>
      <c r="AQ42" s="1061"/>
      <c r="AR42" s="1060"/>
      <c r="AS42" s="1061"/>
      <c r="AT42" s="1060"/>
      <c r="AU42" s="1061"/>
      <c r="AV42" s="1060"/>
      <c r="AW42" s="1061"/>
      <c r="AX42" s="1060"/>
      <c r="AY42" s="1061"/>
      <c r="AZ42" s="1060"/>
      <c r="BA42" s="1061"/>
      <c r="BB42" s="1060"/>
      <c r="BC42" s="1061"/>
      <c r="BD42" s="1060"/>
      <c r="BE42" s="1062"/>
      <c r="BF42" s="161"/>
    </row>
    <row r="43" spans="1:58" ht="12.75" customHeight="1" thickBot="1" x14ac:dyDescent="0.25">
      <c r="A43" s="159"/>
      <c r="B43" s="160"/>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1"/>
      <c r="AG43" s="159"/>
      <c r="AH43" s="160"/>
      <c r="AI43" s="160"/>
      <c r="AJ43" s="160"/>
      <c r="AK43" s="160"/>
      <c r="AL43" s="160"/>
      <c r="AM43" s="160"/>
      <c r="AN43" s="160"/>
      <c r="AO43" s="160"/>
      <c r="AP43" s="160"/>
      <c r="AQ43" s="160"/>
      <c r="AR43" s="160"/>
      <c r="AS43" s="160"/>
      <c r="AT43" s="160"/>
      <c r="AU43" s="160"/>
      <c r="AV43" s="160"/>
      <c r="AW43" s="160"/>
      <c r="AX43" s="160"/>
      <c r="AY43" s="160"/>
      <c r="AZ43" s="160"/>
      <c r="BA43" s="160"/>
      <c r="BB43" s="160"/>
      <c r="BC43" s="160"/>
      <c r="BD43" s="160"/>
      <c r="BE43" s="160"/>
      <c r="BF43" s="161"/>
    </row>
    <row r="44" spans="1:58" ht="12.75" customHeight="1" x14ac:dyDescent="0.2">
      <c r="A44" s="159"/>
      <c r="B44" s="1072" t="s">
        <v>25</v>
      </c>
      <c r="C44" s="1072"/>
      <c r="D44" s="1073"/>
      <c r="F44" s="1072" t="s">
        <v>65</v>
      </c>
      <c r="G44" s="1072"/>
      <c r="H44" s="1073"/>
      <c r="J44" s="1072" t="s">
        <v>33</v>
      </c>
      <c r="K44" s="1072"/>
      <c r="L44" s="1073"/>
      <c r="O44" s="1072" t="s">
        <v>13</v>
      </c>
      <c r="P44" s="1072"/>
      <c r="Q44" s="1073"/>
      <c r="S44" s="1072" t="s">
        <v>15</v>
      </c>
      <c r="T44" s="1072"/>
      <c r="U44" s="1073"/>
      <c r="W44" s="1072" t="s">
        <v>17</v>
      </c>
      <c r="X44" s="1072"/>
      <c r="Y44" s="1073"/>
      <c r="Z44" s="161"/>
      <c r="AG44" s="159"/>
      <c r="AH44" s="1072" t="s">
        <v>25</v>
      </c>
      <c r="AI44" s="1072"/>
      <c r="AJ44" s="1073"/>
      <c r="AL44" s="1072" t="s">
        <v>65</v>
      </c>
      <c r="AM44" s="1072"/>
      <c r="AN44" s="1073"/>
      <c r="AP44" s="1072" t="s">
        <v>33</v>
      </c>
      <c r="AQ44" s="1072"/>
      <c r="AR44" s="1073"/>
      <c r="AU44" s="1072" t="s">
        <v>13</v>
      </c>
      <c r="AV44" s="1072"/>
      <c r="AW44" s="1073"/>
      <c r="AY44" s="1072" t="s">
        <v>15</v>
      </c>
      <c r="AZ44" s="1072"/>
      <c r="BA44" s="1073"/>
      <c r="BC44" s="1072" t="s">
        <v>17</v>
      </c>
      <c r="BD44" s="1072"/>
      <c r="BE44" s="1073"/>
      <c r="BF44" s="161"/>
    </row>
    <row r="45" spans="1:58" ht="12.75" customHeight="1" thickBot="1" x14ac:dyDescent="0.25">
      <c r="A45" s="159"/>
      <c r="B45" s="1074"/>
      <c r="C45" s="1074"/>
      <c r="D45" s="1075"/>
      <c r="F45" s="1074"/>
      <c r="G45" s="1074"/>
      <c r="H45" s="1075"/>
      <c r="J45" s="1076"/>
      <c r="K45" s="1076"/>
      <c r="L45" s="1077"/>
      <c r="O45" s="1074"/>
      <c r="P45" s="1074"/>
      <c r="Q45" s="1075"/>
      <c r="S45" s="1074"/>
      <c r="T45" s="1074"/>
      <c r="U45" s="1075"/>
      <c r="W45" s="1074"/>
      <c r="X45" s="1074"/>
      <c r="Y45" s="1075"/>
      <c r="Z45" s="161"/>
      <c r="AG45" s="159"/>
      <c r="AH45" s="1074"/>
      <c r="AI45" s="1074"/>
      <c r="AJ45" s="1075"/>
      <c r="AL45" s="1074"/>
      <c r="AM45" s="1074"/>
      <c r="AN45" s="1075"/>
      <c r="AP45" s="1076"/>
      <c r="AQ45" s="1076"/>
      <c r="AR45" s="1077"/>
      <c r="AU45" s="1074"/>
      <c r="AV45" s="1074"/>
      <c r="AW45" s="1075"/>
      <c r="AY45" s="1074"/>
      <c r="AZ45" s="1074"/>
      <c r="BA45" s="1075"/>
      <c r="BC45" s="1074"/>
      <c r="BD45" s="1074"/>
      <c r="BE45" s="1075"/>
      <c r="BF45" s="161"/>
    </row>
    <row r="46" spans="1:58" ht="12.75" customHeight="1" thickBot="1" x14ac:dyDescent="0.25">
      <c r="A46" s="159"/>
      <c r="B46" s="160"/>
      <c r="C46" s="160"/>
      <c r="D46" s="160"/>
      <c r="E46" s="160"/>
      <c r="R46" s="160"/>
      <c r="S46" s="160"/>
      <c r="T46" s="160"/>
      <c r="U46" s="160"/>
      <c r="V46" s="160"/>
      <c r="W46" s="160"/>
      <c r="X46" s="160"/>
      <c r="Y46" s="160"/>
      <c r="Z46" s="161"/>
      <c r="AG46" s="159"/>
      <c r="AH46" s="160"/>
      <c r="AI46" s="160"/>
      <c r="AJ46" s="160"/>
      <c r="AK46" s="160"/>
      <c r="AX46" s="160"/>
      <c r="AY46" s="160"/>
      <c r="AZ46" s="160"/>
      <c r="BA46" s="160"/>
      <c r="BB46" s="160"/>
      <c r="BC46" s="160"/>
      <c r="BD46" s="160"/>
      <c r="BE46" s="160"/>
      <c r="BF46" s="161"/>
    </row>
    <row r="47" spans="1:58" ht="12.75" customHeight="1" x14ac:dyDescent="0.2">
      <c r="A47" s="159"/>
      <c r="B47" s="1070"/>
      <c r="C47" s="1070"/>
      <c r="D47" s="1071"/>
      <c r="F47" s="1070"/>
      <c r="G47" s="1070"/>
      <c r="H47" s="1071"/>
      <c r="J47" s="1070"/>
      <c r="K47" s="1070"/>
      <c r="L47" s="1071"/>
      <c r="O47" s="1072" t="s">
        <v>68</v>
      </c>
      <c r="P47" s="1072"/>
      <c r="Q47" s="1073"/>
      <c r="S47" s="1072" t="s">
        <v>215</v>
      </c>
      <c r="T47" s="1072"/>
      <c r="U47" s="1073"/>
      <c r="W47" s="1072" t="s">
        <v>216</v>
      </c>
      <c r="X47" s="1072"/>
      <c r="Y47" s="1073"/>
      <c r="Z47" s="161"/>
      <c r="AG47" s="159"/>
      <c r="AH47" s="1070"/>
      <c r="AI47" s="1070"/>
      <c r="AJ47" s="1071"/>
      <c r="AL47" s="1070"/>
      <c r="AM47" s="1070"/>
      <c r="AN47" s="1071"/>
      <c r="AP47" s="1070"/>
      <c r="AQ47" s="1070"/>
      <c r="AR47" s="1071"/>
      <c r="AU47" s="1072" t="s">
        <v>68</v>
      </c>
      <c r="AV47" s="1072"/>
      <c r="AW47" s="1073"/>
      <c r="AY47" s="1072" t="s">
        <v>215</v>
      </c>
      <c r="AZ47" s="1072"/>
      <c r="BA47" s="1073"/>
      <c r="BC47" s="1072" t="s">
        <v>216</v>
      </c>
      <c r="BD47" s="1072"/>
      <c r="BE47" s="1073"/>
      <c r="BF47" s="161"/>
    </row>
    <row r="48" spans="1:58" ht="12.75" customHeight="1" thickBot="1" x14ac:dyDescent="0.25">
      <c r="A48" s="159"/>
      <c r="B48" s="1074"/>
      <c r="C48" s="1074"/>
      <c r="D48" s="1075"/>
      <c r="F48" s="1074"/>
      <c r="G48" s="1074"/>
      <c r="H48" s="1075"/>
      <c r="J48" s="1074"/>
      <c r="K48" s="1074"/>
      <c r="L48" s="1075"/>
      <c r="O48" s="1074"/>
      <c r="P48" s="1074"/>
      <c r="Q48" s="1075"/>
      <c r="S48" s="1076"/>
      <c r="T48" s="1076"/>
      <c r="U48" s="1077"/>
      <c r="W48" s="1076"/>
      <c r="X48" s="1076"/>
      <c r="Y48" s="1077"/>
      <c r="Z48" s="161"/>
      <c r="AG48" s="159"/>
      <c r="AH48" s="1074"/>
      <c r="AI48" s="1074"/>
      <c r="AJ48" s="1075"/>
      <c r="AL48" s="1074"/>
      <c r="AM48" s="1074"/>
      <c r="AN48" s="1075"/>
      <c r="AP48" s="1074"/>
      <c r="AQ48" s="1074"/>
      <c r="AR48" s="1075"/>
      <c r="AU48" s="1074"/>
      <c r="AV48" s="1074"/>
      <c r="AW48" s="1075"/>
      <c r="AY48" s="1076"/>
      <c r="AZ48" s="1076"/>
      <c r="BA48" s="1077"/>
      <c r="BC48" s="1076"/>
      <c r="BD48" s="1076"/>
      <c r="BE48" s="1077"/>
      <c r="BF48" s="161"/>
    </row>
    <row r="49" spans="1:58" ht="12.75" customHeight="1" thickBot="1" x14ac:dyDescent="0.25">
      <c r="A49" s="159"/>
      <c r="B49" s="160"/>
      <c r="C49" s="160"/>
      <c r="D49" s="160"/>
      <c r="E49" s="160"/>
      <c r="R49" s="160"/>
      <c r="S49" s="160"/>
      <c r="T49" s="160"/>
      <c r="U49" s="160"/>
      <c r="V49" s="160"/>
      <c r="W49" s="160"/>
      <c r="X49" s="160"/>
      <c r="Y49" s="160"/>
      <c r="Z49" s="161"/>
      <c r="AG49" s="159"/>
      <c r="AH49" s="160"/>
      <c r="AI49" s="160"/>
      <c r="AJ49" s="160"/>
      <c r="AK49" s="160"/>
      <c r="AX49" s="160"/>
      <c r="AY49" s="160"/>
      <c r="AZ49" s="160"/>
      <c r="BA49" s="160"/>
      <c r="BB49" s="160"/>
      <c r="BC49" s="160"/>
      <c r="BD49" s="160"/>
      <c r="BE49" s="160"/>
      <c r="BF49" s="161"/>
    </row>
    <row r="50" spans="1:58" ht="12.75" customHeight="1" x14ac:dyDescent="0.2">
      <c r="A50" s="159"/>
      <c r="B50" s="1078" t="s">
        <v>229</v>
      </c>
      <c r="C50" s="1079"/>
      <c r="D50" s="1079"/>
      <c r="E50" s="1079"/>
      <c r="F50" s="1079"/>
      <c r="G50" s="1079"/>
      <c r="H50" s="1079"/>
      <c r="I50" s="1079"/>
      <c r="J50" s="1079"/>
      <c r="K50" s="1079"/>
      <c r="L50" s="1079"/>
      <c r="M50" s="1079"/>
      <c r="N50" s="1079"/>
      <c r="O50" s="1079"/>
      <c r="P50" s="1079"/>
      <c r="Q50" s="1079"/>
      <c r="R50" s="1079"/>
      <c r="S50" s="1079"/>
      <c r="T50" s="1079"/>
      <c r="U50" s="1079"/>
      <c r="V50" s="1079"/>
      <c r="W50" s="1079"/>
      <c r="X50" s="1079"/>
      <c r="Y50" s="1080"/>
      <c r="Z50" s="161"/>
      <c r="AG50" s="159"/>
      <c r="AH50" s="1078" t="s">
        <v>229</v>
      </c>
      <c r="AI50" s="1079"/>
      <c r="AJ50" s="1079"/>
      <c r="AK50" s="1079"/>
      <c r="AL50" s="1079"/>
      <c r="AM50" s="1079"/>
      <c r="AN50" s="1079"/>
      <c r="AO50" s="1079"/>
      <c r="AP50" s="1079"/>
      <c r="AQ50" s="1079"/>
      <c r="AR50" s="1079"/>
      <c r="AS50" s="1079"/>
      <c r="AT50" s="1079"/>
      <c r="AU50" s="1079"/>
      <c r="AV50" s="1079"/>
      <c r="AW50" s="1079"/>
      <c r="AX50" s="1079"/>
      <c r="AY50" s="1079"/>
      <c r="AZ50" s="1079"/>
      <c r="BA50" s="1079"/>
      <c r="BB50" s="1079"/>
      <c r="BC50" s="1079"/>
      <c r="BD50" s="1079"/>
      <c r="BE50" s="1080"/>
      <c r="BF50" s="161"/>
    </row>
    <row r="51" spans="1:58" ht="12.75" customHeight="1" x14ac:dyDescent="0.2">
      <c r="A51" s="159"/>
      <c r="B51" s="1098"/>
      <c r="C51" s="911"/>
      <c r="D51" s="911"/>
      <c r="E51" s="911"/>
      <c r="F51" s="911"/>
      <c r="G51" s="911"/>
      <c r="H51" s="911"/>
      <c r="I51" s="911"/>
      <c r="J51" s="911"/>
      <c r="K51" s="911"/>
      <c r="L51" s="911"/>
      <c r="M51" s="911"/>
      <c r="N51" s="911"/>
      <c r="O51" s="911"/>
      <c r="P51" s="911"/>
      <c r="Q51" s="911"/>
      <c r="R51" s="911"/>
      <c r="S51" s="911"/>
      <c r="T51" s="911"/>
      <c r="U51" s="911"/>
      <c r="V51" s="911"/>
      <c r="W51" s="911"/>
      <c r="X51" s="911"/>
      <c r="Y51" s="1099"/>
      <c r="Z51" s="161"/>
      <c r="AG51" s="159"/>
      <c r="AH51" s="1098"/>
      <c r="AI51" s="911"/>
      <c r="AJ51" s="911"/>
      <c r="AK51" s="911"/>
      <c r="AL51" s="911"/>
      <c r="AM51" s="911"/>
      <c r="AN51" s="911"/>
      <c r="AO51" s="911"/>
      <c r="AP51" s="911"/>
      <c r="AQ51" s="911"/>
      <c r="AR51" s="911"/>
      <c r="AS51" s="911"/>
      <c r="AT51" s="911"/>
      <c r="AU51" s="911"/>
      <c r="AV51" s="911"/>
      <c r="AW51" s="911"/>
      <c r="AX51" s="911"/>
      <c r="AY51" s="911"/>
      <c r="AZ51" s="911"/>
      <c r="BA51" s="911"/>
      <c r="BB51" s="911"/>
      <c r="BC51" s="911"/>
      <c r="BD51" s="911"/>
      <c r="BE51" s="1099"/>
      <c r="BF51" s="161"/>
    </row>
    <row r="52" spans="1:58" ht="12.75" customHeight="1" x14ac:dyDescent="0.2">
      <c r="A52" s="159"/>
      <c r="B52" s="1098"/>
      <c r="C52" s="911"/>
      <c r="D52" s="911"/>
      <c r="E52" s="911"/>
      <c r="F52" s="911"/>
      <c r="G52" s="911"/>
      <c r="H52" s="911"/>
      <c r="I52" s="911"/>
      <c r="J52" s="911"/>
      <c r="K52" s="911"/>
      <c r="L52" s="911"/>
      <c r="M52" s="911"/>
      <c r="N52" s="911"/>
      <c r="O52" s="911"/>
      <c r="P52" s="911"/>
      <c r="Q52" s="911"/>
      <c r="R52" s="911"/>
      <c r="S52" s="911"/>
      <c r="T52" s="911"/>
      <c r="U52" s="911"/>
      <c r="V52" s="911"/>
      <c r="W52" s="911"/>
      <c r="X52" s="911"/>
      <c r="Y52" s="1099"/>
      <c r="Z52" s="161"/>
      <c r="AG52" s="159"/>
      <c r="AH52" s="1098"/>
      <c r="AI52" s="911"/>
      <c r="AJ52" s="911"/>
      <c r="AK52" s="911"/>
      <c r="AL52" s="911"/>
      <c r="AM52" s="911"/>
      <c r="AN52" s="911"/>
      <c r="AO52" s="911"/>
      <c r="AP52" s="911"/>
      <c r="AQ52" s="911"/>
      <c r="AR52" s="911"/>
      <c r="AS52" s="911"/>
      <c r="AT52" s="911"/>
      <c r="AU52" s="911"/>
      <c r="AV52" s="911"/>
      <c r="AW52" s="911"/>
      <c r="AX52" s="911"/>
      <c r="AY52" s="911"/>
      <c r="AZ52" s="911"/>
      <c r="BA52" s="911"/>
      <c r="BB52" s="911"/>
      <c r="BC52" s="911"/>
      <c r="BD52" s="911"/>
      <c r="BE52" s="1099"/>
      <c r="BF52" s="161"/>
    </row>
    <row r="53" spans="1:58" ht="12.75" customHeight="1" thickBot="1" x14ac:dyDescent="0.25">
      <c r="A53" s="159"/>
      <c r="B53" s="1103"/>
      <c r="C53" s="1104"/>
      <c r="D53" s="1104"/>
      <c r="E53" s="1104"/>
      <c r="F53" s="1104"/>
      <c r="G53" s="1104"/>
      <c r="H53" s="1104"/>
      <c r="I53" s="1104"/>
      <c r="J53" s="1104"/>
      <c r="K53" s="1104"/>
      <c r="L53" s="1104"/>
      <c r="M53" s="1104"/>
      <c r="N53" s="1104"/>
      <c r="O53" s="1104"/>
      <c r="P53" s="1104"/>
      <c r="Q53" s="1104"/>
      <c r="R53" s="1104"/>
      <c r="S53" s="1104"/>
      <c r="T53" s="1104"/>
      <c r="U53" s="1104"/>
      <c r="V53" s="1104"/>
      <c r="W53" s="1104"/>
      <c r="X53" s="1104"/>
      <c r="Y53" s="1105"/>
      <c r="Z53" s="161"/>
      <c r="AG53" s="159"/>
      <c r="AH53" s="1103"/>
      <c r="AI53" s="1104"/>
      <c r="AJ53" s="1104"/>
      <c r="AK53" s="1104"/>
      <c r="AL53" s="1104"/>
      <c r="AM53" s="1104"/>
      <c r="AN53" s="1104"/>
      <c r="AO53" s="1104"/>
      <c r="AP53" s="1104"/>
      <c r="AQ53" s="1104"/>
      <c r="AR53" s="1104"/>
      <c r="AS53" s="1104"/>
      <c r="AT53" s="1104"/>
      <c r="AU53" s="1104"/>
      <c r="AV53" s="1104"/>
      <c r="AW53" s="1104"/>
      <c r="AX53" s="1104"/>
      <c r="AY53" s="1104"/>
      <c r="AZ53" s="1104"/>
      <c r="BA53" s="1104"/>
      <c r="BB53" s="1104"/>
      <c r="BC53" s="1104"/>
      <c r="BD53" s="1104"/>
      <c r="BE53" s="1105"/>
      <c r="BF53" s="161"/>
    </row>
    <row r="54" spans="1:58" ht="12.75" customHeight="1" thickBot="1" x14ac:dyDescent="0.25">
      <c r="A54" s="159"/>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1"/>
      <c r="AG54" s="159"/>
      <c r="AH54" s="162"/>
      <c r="AI54" s="162"/>
      <c r="AJ54" s="162"/>
      <c r="AK54" s="162"/>
      <c r="AL54" s="162"/>
      <c r="AM54" s="162"/>
      <c r="AN54" s="162"/>
      <c r="AO54" s="162"/>
      <c r="AP54" s="162"/>
      <c r="AQ54" s="162"/>
      <c r="AR54" s="162"/>
      <c r="AS54" s="162"/>
      <c r="AT54" s="162"/>
      <c r="AU54" s="162"/>
      <c r="AV54" s="162"/>
      <c r="AW54" s="162"/>
      <c r="AX54" s="162"/>
      <c r="AY54" s="162"/>
      <c r="AZ54" s="162"/>
      <c r="BA54" s="162"/>
      <c r="BB54" s="162"/>
      <c r="BC54" s="162"/>
      <c r="BD54" s="162"/>
      <c r="BE54" s="162"/>
      <c r="BF54" s="161"/>
    </row>
    <row r="55" spans="1:58" ht="12.75" customHeight="1" x14ac:dyDescent="0.2">
      <c r="A55" s="159"/>
      <c r="B55" s="1100" t="s">
        <v>230</v>
      </c>
      <c r="C55" s="1101"/>
      <c r="D55" s="1101"/>
      <c r="E55" s="1101"/>
      <c r="F55" s="1101"/>
      <c r="G55" s="1101"/>
      <c r="H55" s="1101"/>
      <c r="I55" s="1101"/>
      <c r="J55" s="1101"/>
      <c r="K55" s="1101"/>
      <c r="L55" s="1101"/>
      <c r="M55" s="1101"/>
      <c r="N55" s="1101"/>
      <c r="O55" s="1101"/>
      <c r="P55" s="1101"/>
      <c r="Q55" s="1101"/>
      <c r="R55" s="1101"/>
      <c r="S55" s="1101"/>
      <c r="T55" s="1101"/>
      <c r="U55" s="1101"/>
      <c r="V55" s="1101"/>
      <c r="W55" s="1101"/>
      <c r="X55" s="1101"/>
      <c r="Y55" s="1102"/>
      <c r="Z55" s="161"/>
      <c r="AG55" s="159"/>
      <c r="AH55" s="1100" t="s">
        <v>230</v>
      </c>
      <c r="AI55" s="1101"/>
      <c r="AJ55" s="1101"/>
      <c r="AK55" s="1101"/>
      <c r="AL55" s="1101"/>
      <c r="AM55" s="1101"/>
      <c r="AN55" s="1101"/>
      <c r="AO55" s="1101"/>
      <c r="AP55" s="1101"/>
      <c r="AQ55" s="1101"/>
      <c r="AR55" s="1101"/>
      <c r="AS55" s="1101"/>
      <c r="AT55" s="1101"/>
      <c r="AU55" s="1101"/>
      <c r="AV55" s="1101"/>
      <c r="AW55" s="1101"/>
      <c r="AX55" s="1101"/>
      <c r="AY55" s="1101"/>
      <c r="AZ55" s="1101"/>
      <c r="BA55" s="1101"/>
      <c r="BB55" s="1101"/>
      <c r="BC55" s="1101"/>
      <c r="BD55" s="1101"/>
      <c r="BE55" s="1102"/>
      <c r="BF55" s="161"/>
    </row>
    <row r="56" spans="1:58" ht="12.75" customHeight="1" x14ac:dyDescent="0.2">
      <c r="A56" s="159"/>
      <c r="B56" s="1096"/>
      <c r="C56" s="911"/>
      <c r="D56" s="911"/>
      <c r="E56" s="911"/>
      <c r="F56" s="911"/>
      <c r="G56" s="911"/>
      <c r="H56" s="911"/>
      <c r="I56" s="911"/>
      <c r="J56" s="911"/>
      <c r="K56" s="911"/>
      <c r="L56" s="911"/>
      <c r="M56" s="911"/>
      <c r="N56" s="911"/>
      <c r="O56" s="911"/>
      <c r="P56" s="911"/>
      <c r="Q56" s="911"/>
      <c r="R56" s="911"/>
      <c r="S56" s="911"/>
      <c r="T56" s="911"/>
      <c r="U56" s="911"/>
      <c r="V56" s="911"/>
      <c r="W56" s="911"/>
      <c r="X56" s="911"/>
      <c r="Y56" s="1097"/>
      <c r="Z56" s="161"/>
      <c r="AG56" s="159"/>
      <c r="AH56" s="1096"/>
      <c r="AI56" s="911"/>
      <c r="AJ56" s="911"/>
      <c r="AK56" s="911"/>
      <c r="AL56" s="911"/>
      <c r="AM56" s="911"/>
      <c r="AN56" s="911"/>
      <c r="AO56" s="911"/>
      <c r="AP56" s="911"/>
      <c r="AQ56" s="911"/>
      <c r="AR56" s="911"/>
      <c r="AS56" s="911"/>
      <c r="AT56" s="911"/>
      <c r="AU56" s="911"/>
      <c r="AV56" s="911"/>
      <c r="AW56" s="911"/>
      <c r="AX56" s="911"/>
      <c r="AY56" s="911"/>
      <c r="AZ56" s="911"/>
      <c r="BA56" s="911"/>
      <c r="BB56" s="911"/>
      <c r="BC56" s="911"/>
      <c r="BD56" s="911"/>
      <c r="BE56" s="1097"/>
      <c r="BF56" s="161"/>
    </row>
    <row r="57" spans="1:58" ht="12.75" customHeight="1" x14ac:dyDescent="0.2">
      <c r="A57" s="159"/>
      <c r="B57" s="1096"/>
      <c r="C57" s="911"/>
      <c r="D57" s="911"/>
      <c r="E57" s="911"/>
      <c r="F57" s="911"/>
      <c r="G57" s="911"/>
      <c r="H57" s="911"/>
      <c r="I57" s="911"/>
      <c r="J57" s="911"/>
      <c r="K57" s="911"/>
      <c r="L57" s="911"/>
      <c r="M57" s="911"/>
      <c r="N57" s="911"/>
      <c r="O57" s="911"/>
      <c r="P57" s="911"/>
      <c r="Q57" s="911"/>
      <c r="R57" s="911"/>
      <c r="S57" s="911"/>
      <c r="T57" s="911"/>
      <c r="U57" s="911"/>
      <c r="V57" s="911"/>
      <c r="W57" s="911"/>
      <c r="X57" s="911"/>
      <c r="Y57" s="1097"/>
      <c r="Z57" s="161"/>
      <c r="AG57" s="159"/>
      <c r="AH57" s="1096"/>
      <c r="AI57" s="911"/>
      <c r="AJ57" s="911"/>
      <c r="AK57" s="911"/>
      <c r="AL57" s="911"/>
      <c r="AM57" s="911"/>
      <c r="AN57" s="911"/>
      <c r="AO57" s="911"/>
      <c r="AP57" s="911"/>
      <c r="AQ57" s="911"/>
      <c r="AR57" s="911"/>
      <c r="AS57" s="911"/>
      <c r="AT57" s="911"/>
      <c r="AU57" s="911"/>
      <c r="AV57" s="911"/>
      <c r="AW57" s="911"/>
      <c r="AX57" s="911"/>
      <c r="AY57" s="911"/>
      <c r="AZ57" s="911"/>
      <c r="BA57" s="911"/>
      <c r="BB57" s="911"/>
      <c r="BC57" s="911"/>
      <c r="BD57" s="911"/>
      <c r="BE57" s="1097"/>
      <c r="BF57" s="161"/>
    </row>
    <row r="58" spans="1:58" ht="12.75" customHeight="1" x14ac:dyDescent="0.2">
      <c r="A58" s="159"/>
      <c r="B58" s="1096"/>
      <c r="C58" s="911"/>
      <c r="D58" s="911"/>
      <c r="E58" s="911"/>
      <c r="F58" s="911"/>
      <c r="G58" s="911"/>
      <c r="H58" s="911"/>
      <c r="I58" s="911"/>
      <c r="J58" s="911"/>
      <c r="K58" s="911"/>
      <c r="L58" s="911"/>
      <c r="M58" s="911"/>
      <c r="N58" s="911"/>
      <c r="O58" s="911"/>
      <c r="P58" s="911"/>
      <c r="Q58" s="911"/>
      <c r="R58" s="911"/>
      <c r="S58" s="911"/>
      <c r="T58" s="911"/>
      <c r="U58" s="911"/>
      <c r="V58" s="911"/>
      <c r="W58" s="911"/>
      <c r="X58" s="911"/>
      <c r="Y58" s="1097"/>
      <c r="Z58" s="161"/>
      <c r="AG58" s="159"/>
      <c r="AH58" s="1096"/>
      <c r="AI58" s="911"/>
      <c r="AJ58" s="911"/>
      <c r="AK58" s="911"/>
      <c r="AL58" s="911"/>
      <c r="AM58" s="911"/>
      <c r="AN58" s="911"/>
      <c r="AO58" s="911"/>
      <c r="AP58" s="911"/>
      <c r="AQ58" s="911"/>
      <c r="AR58" s="911"/>
      <c r="AS58" s="911"/>
      <c r="AT58" s="911"/>
      <c r="AU58" s="911"/>
      <c r="AV58" s="911"/>
      <c r="AW58" s="911"/>
      <c r="AX58" s="911"/>
      <c r="AY58" s="911"/>
      <c r="AZ58" s="911"/>
      <c r="BA58" s="911"/>
      <c r="BB58" s="911"/>
      <c r="BC58" s="911"/>
      <c r="BD58" s="911"/>
      <c r="BE58" s="1097"/>
      <c r="BF58" s="161"/>
    </row>
    <row r="59" spans="1:58" ht="12.75" customHeight="1" x14ac:dyDescent="0.2">
      <c r="A59" s="159"/>
      <c r="B59" s="1096"/>
      <c r="C59" s="911"/>
      <c r="D59" s="911"/>
      <c r="E59" s="911"/>
      <c r="F59" s="911"/>
      <c r="G59" s="911"/>
      <c r="H59" s="911"/>
      <c r="I59" s="911"/>
      <c r="J59" s="911"/>
      <c r="K59" s="911"/>
      <c r="L59" s="911"/>
      <c r="M59" s="911"/>
      <c r="N59" s="911"/>
      <c r="O59" s="911"/>
      <c r="P59" s="911"/>
      <c r="Q59" s="911"/>
      <c r="R59" s="911"/>
      <c r="S59" s="911"/>
      <c r="T59" s="911"/>
      <c r="U59" s="911"/>
      <c r="V59" s="911"/>
      <c r="W59" s="911"/>
      <c r="X59" s="911"/>
      <c r="Y59" s="1097"/>
      <c r="Z59" s="161"/>
      <c r="AG59" s="159"/>
      <c r="AH59" s="1096"/>
      <c r="AI59" s="911"/>
      <c r="AJ59" s="911"/>
      <c r="AK59" s="911"/>
      <c r="AL59" s="911"/>
      <c r="AM59" s="911"/>
      <c r="AN59" s="911"/>
      <c r="AO59" s="911"/>
      <c r="AP59" s="911"/>
      <c r="AQ59" s="911"/>
      <c r="AR59" s="911"/>
      <c r="AS59" s="911"/>
      <c r="AT59" s="911"/>
      <c r="AU59" s="911"/>
      <c r="AV59" s="911"/>
      <c r="AW59" s="911"/>
      <c r="AX59" s="911"/>
      <c r="AY59" s="911"/>
      <c r="AZ59" s="911"/>
      <c r="BA59" s="911"/>
      <c r="BB59" s="911"/>
      <c r="BC59" s="911"/>
      <c r="BD59" s="911"/>
      <c r="BE59" s="1097"/>
      <c r="BF59" s="161"/>
    </row>
    <row r="60" spans="1:58" ht="12.75" customHeight="1" x14ac:dyDescent="0.2">
      <c r="A60" s="159"/>
      <c r="B60" s="1096"/>
      <c r="C60" s="911"/>
      <c r="D60" s="911"/>
      <c r="E60" s="911"/>
      <c r="F60" s="911"/>
      <c r="G60" s="911"/>
      <c r="H60" s="911"/>
      <c r="I60" s="911"/>
      <c r="J60" s="911"/>
      <c r="K60" s="911"/>
      <c r="L60" s="911"/>
      <c r="M60" s="911"/>
      <c r="N60" s="911"/>
      <c r="O60" s="911"/>
      <c r="P60" s="911"/>
      <c r="Q60" s="911"/>
      <c r="R60" s="911"/>
      <c r="S60" s="911"/>
      <c r="T60" s="911"/>
      <c r="U60" s="911"/>
      <c r="V60" s="911"/>
      <c r="W60" s="911"/>
      <c r="X60" s="911"/>
      <c r="Y60" s="1097"/>
      <c r="Z60" s="161"/>
      <c r="AG60" s="159"/>
      <c r="AH60" s="1096"/>
      <c r="AI60" s="911"/>
      <c r="AJ60" s="911"/>
      <c r="AK60" s="911"/>
      <c r="AL60" s="911"/>
      <c r="AM60" s="911"/>
      <c r="AN60" s="911"/>
      <c r="AO60" s="911"/>
      <c r="AP60" s="911"/>
      <c r="AQ60" s="911"/>
      <c r="AR60" s="911"/>
      <c r="AS60" s="911"/>
      <c r="AT60" s="911"/>
      <c r="AU60" s="911"/>
      <c r="AV60" s="911"/>
      <c r="AW60" s="911"/>
      <c r="AX60" s="911"/>
      <c r="AY60" s="911"/>
      <c r="AZ60" s="911"/>
      <c r="BA60" s="911"/>
      <c r="BB60" s="911"/>
      <c r="BC60" s="911"/>
      <c r="BD60" s="911"/>
      <c r="BE60" s="1097"/>
      <c r="BF60" s="161"/>
    </row>
    <row r="61" spans="1:58" ht="12.75" customHeight="1" x14ac:dyDescent="0.2">
      <c r="A61" s="159"/>
      <c r="B61" s="1096"/>
      <c r="C61" s="911"/>
      <c r="D61" s="911"/>
      <c r="E61" s="911"/>
      <c r="F61" s="911"/>
      <c r="G61" s="911"/>
      <c r="H61" s="911"/>
      <c r="I61" s="911"/>
      <c r="J61" s="911"/>
      <c r="K61" s="911"/>
      <c r="L61" s="911"/>
      <c r="M61" s="911"/>
      <c r="N61" s="911"/>
      <c r="O61" s="911"/>
      <c r="P61" s="911"/>
      <c r="Q61" s="911"/>
      <c r="R61" s="911"/>
      <c r="S61" s="911"/>
      <c r="T61" s="911"/>
      <c r="U61" s="911"/>
      <c r="V61" s="911"/>
      <c r="W61" s="911"/>
      <c r="X61" s="911"/>
      <c r="Y61" s="1097"/>
      <c r="Z61" s="161"/>
      <c r="AG61" s="159"/>
      <c r="AH61" s="1096"/>
      <c r="AI61" s="911"/>
      <c r="AJ61" s="911"/>
      <c r="AK61" s="911"/>
      <c r="AL61" s="911"/>
      <c r="AM61" s="911"/>
      <c r="AN61" s="911"/>
      <c r="AO61" s="911"/>
      <c r="AP61" s="911"/>
      <c r="AQ61" s="911"/>
      <c r="AR61" s="911"/>
      <c r="AS61" s="911"/>
      <c r="AT61" s="911"/>
      <c r="AU61" s="911"/>
      <c r="AV61" s="911"/>
      <c r="AW61" s="911"/>
      <c r="AX61" s="911"/>
      <c r="AY61" s="911"/>
      <c r="AZ61" s="911"/>
      <c r="BA61" s="911"/>
      <c r="BB61" s="911"/>
      <c r="BC61" s="911"/>
      <c r="BD61" s="911"/>
      <c r="BE61" s="1097"/>
      <c r="BF61" s="161"/>
    </row>
    <row r="62" spans="1:58" ht="12.75" customHeight="1" x14ac:dyDescent="0.2">
      <c r="A62" s="159"/>
      <c r="B62" s="1096"/>
      <c r="C62" s="911"/>
      <c r="D62" s="911"/>
      <c r="E62" s="911"/>
      <c r="F62" s="911"/>
      <c r="G62" s="911"/>
      <c r="H62" s="911"/>
      <c r="I62" s="911"/>
      <c r="J62" s="911"/>
      <c r="K62" s="911"/>
      <c r="L62" s="911"/>
      <c r="M62" s="911"/>
      <c r="N62" s="911"/>
      <c r="O62" s="911"/>
      <c r="P62" s="911"/>
      <c r="Q62" s="911"/>
      <c r="R62" s="911"/>
      <c r="S62" s="911"/>
      <c r="T62" s="911"/>
      <c r="U62" s="911"/>
      <c r="V62" s="911"/>
      <c r="W62" s="911"/>
      <c r="X62" s="911"/>
      <c r="Y62" s="1097"/>
      <c r="Z62" s="161"/>
      <c r="AG62" s="159"/>
      <c r="AH62" s="1096"/>
      <c r="AI62" s="911"/>
      <c r="AJ62" s="911"/>
      <c r="AK62" s="911"/>
      <c r="AL62" s="911"/>
      <c r="AM62" s="911"/>
      <c r="AN62" s="911"/>
      <c r="AO62" s="911"/>
      <c r="AP62" s="911"/>
      <c r="AQ62" s="911"/>
      <c r="AR62" s="911"/>
      <c r="AS62" s="911"/>
      <c r="AT62" s="911"/>
      <c r="AU62" s="911"/>
      <c r="AV62" s="911"/>
      <c r="AW62" s="911"/>
      <c r="AX62" s="911"/>
      <c r="AY62" s="911"/>
      <c r="AZ62" s="911"/>
      <c r="BA62" s="911"/>
      <c r="BB62" s="911"/>
      <c r="BC62" s="911"/>
      <c r="BD62" s="911"/>
      <c r="BE62" s="1097"/>
      <c r="BF62" s="161"/>
    </row>
    <row r="63" spans="1:58" ht="12.75" customHeight="1" x14ac:dyDescent="0.2">
      <c r="A63" s="159"/>
      <c r="B63" s="1096"/>
      <c r="C63" s="911"/>
      <c r="D63" s="911"/>
      <c r="E63" s="911"/>
      <c r="F63" s="911"/>
      <c r="G63" s="911"/>
      <c r="H63" s="911"/>
      <c r="I63" s="911"/>
      <c r="J63" s="911"/>
      <c r="K63" s="911"/>
      <c r="L63" s="911"/>
      <c r="M63" s="911"/>
      <c r="N63" s="911"/>
      <c r="O63" s="911"/>
      <c r="P63" s="911"/>
      <c r="Q63" s="911"/>
      <c r="R63" s="911"/>
      <c r="S63" s="911"/>
      <c r="T63" s="911"/>
      <c r="U63" s="911"/>
      <c r="V63" s="911"/>
      <c r="W63" s="911"/>
      <c r="X63" s="911"/>
      <c r="Y63" s="1097"/>
      <c r="Z63" s="161"/>
      <c r="AG63" s="159"/>
      <c r="AH63" s="1096"/>
      <c r="AI63" s="911"/>
      <c r="AJ63" s="911"/>
      <c r="AK63" s="911"/>
      <c r="AL63" s="911"/>
      <c r="AM63" s="911"/>
      <c r="AN63" s="911"/>
      <c r="AO63" s="911"/>
      <c r="AP63" s="911"/>
      <c r="AQ63" s="911"/>
      <c r="AR63" s="911"/>
      <c r="AS63" s="911"/>
      <c r="AT63" s="911"/>
      <c r="AU63" s="911"/>
      <c r="AV63" s="911"/>
      <c r="AW63" s="911"/>
      <c r="AX63" s="911"/>
      <c r="AY63" s="911"/>
      <c r="AZ63" s="911"/>
      <c r="BA63" s="911"/>
      <c r="BB63" s="911"/>
      <c r="BC63" s="911"/>
      <c r="BD63" s="911"/>
      <c r="BE63" s="1097"/>
      <c r="BF63" s="161"/>
    </row>
    <row r="64" spans="1:58" ht="12.75" customHeight="1" x14ac:dyDescent="0.2">
      <c r="A64" s="159"/>
      <c r="B64" s="1096"/>
      <c r="C64" s="911"/>
      <c r="D64" s="911"/>
      <c r="E64" s="911"/>
      <c r="F64" s="911"/>
      <c r="G64" s="911"/>
      <c r="H64" s="911"/>
      <c r="I64" s="911"/>
      <c r="J64" s="911"/>
      <c r="K64" s="911"/>
      <c r="L64" s="911"/>
      <c r="M64" s="911"/>
      <c r="N64" s="911"/>
      <c r="O64" s="911"/>
      <c r="P64" s="911"/>
      <c r="Q64" s="911"/>
      <c r="R64" s="911"/>
      <c r="S64" s="911"/>
      <c r="T64" s="911"/>
      <c r="U64" s="911"/>
      <c r="V64" s="911"/>
      <c r="W64" s="911"/>
      <c r="X64" s="911"/>
      <c r="Y64" s="1097"/>
      <c r="Z64" s="161"/>
      <c r="AG64" s="159"/>
      <c r="AH64" s="1096"/>
      <c r="AI64" s="911"/>
      <c r="AJ64" s="911"/>
      <c r="AK64" s="911"/>
      <c r="AL64" s="911"/>
      <c r="AM64" s="911"/>
      <c r="AN64" s="911"/>
      <c r="AO64" s="911"/>
      <c r="AP64" s="911"/>
      <c r="AQ64" s="911"/>
      <c r="AR64" s="911"/>
      <c r="AS64" s="911"/>
      <c r="AT64" s="911"/>
      <c r="AU64" s="911"/>
      <c r="AV64" s="911"/>
      <c r="AW64" s="911"/>
      <c r="AX64" s="911"/>
      <c r="AY64" s="911"/>
      <c r="AZ64" s="911"/>
      <c r="BA64" s="911"/>
      <c r="BB64" s="911"/>
      <c r="BC64" s="911"/>
      <c r="BD64" s="911"/>
      <c r="BE64" s="1097"/>
      <c r="BF64" s="161"/>
    </row>
    <row r="65" spans="1:58" ht="12.75" customHeight="1" x14ac:dyDescent="0.2">
      <c r="A65" s="159"/>
      <c r="B65" s="1096"/>
      <c r="C65" s="911"/>
      <c r="D65" s="911"/>
      <c r="E65" s="911"/>
      <c r="F65" s="911"/>
      <c r="G65" s="911"/>
      <c r="H65" s="911"/>
      <c r="I65" s="911"/>
      <c r="J65" s="911"/>
      <c r="K65" s="911"/>
      <c r="L65" s="911"/>
      <c r="M65" s="911"/>
      <c r="N65" s="911"/>
      <c r="O65" s="911"/>
      <c r="P65" s="911"/>
      <c r="Q65" s="911"/>
      <c r="R65" s="911"/>
      <c r="S65" s="911"/>
      <c r="T65" s="911"/>
      <c r="U65" s="911"/>
      <c r="V65" s="911"/>
      <c r="W65" s="911"/>
      <c r="X65" s="911"/>
      <c r="Y65" s="1097"/>
      <c r="Z65" s="161"/>
      <c r="AG65" s="159"/>
      <c r="AH65" s="1096"/>
      <c r="AI65" s="911"/>
      <c r="AJ65" s="911"/>
      <c r="AK65" s="911"/>
      <c r="AL65" s="911"/>
      <c r="AM65" s="911"/>
      <c r="AN65" s="911"/>
      <c r="AO65" s="911"/>
      <c r="AP65" s="911"/>
      <c r="AQ65" s="911"/>
      <c r="AR65" s="911"/>
      <c r="AS65" s="911"/>
      <c r="AT65" s="911"/>
      <c r="AU65" s="911"/>
      <c r="AV65" s="911"/>
      <c r="AW65" s="911"/>
      <c r="AX65" s="911"/>
      <c r="AY65" s="911"/>
      <c r="AZ65" s="911"/>
      <c r="BA65" s="911"/>
      <c r="BB65" s="911"/>
      <c r="BC65" s="911"/>
      <c r="BD65" s="911"/>
      <c r="BE65" s="1097"/>
      <c r="BF65" s="161"/>
    </row>
    <row r="66" spans="1:58" ht="12.75" customHeight="1" x14ac:dyDescent="0.2">
      <c r="A66" s="159"/>
      <c r="B66" s="1096"/>
      <c r="C66" s="911"/>
      <c r="D66" s="911"/>
      <c r="E66" s="911"/>
      <c r="F66" s="911"/>
      <c r="G66" s="911"/>
      <c r="H66" s="911"/>
      <c r="I66" s="911"/>
      <c r="J66" s="911"/>
      <c r="K66" s="911"/>
      <c r="L66" s="911"/>
      <c r="M66" s="911"/>
      <c r="N66" s="911"/>
      <c r="O66" s="911"/>
      <c r="P66" s="911"/>
      <c r="Q66" s="911"/>
      <c r="R66" s="911"/>
      <c r="S66" s="911"/>
      <c r="T66" s="911"/>
      <c r="U66" s="911"/>
      <c r="V66" s="911"/>
      <c r="W66" s="911"/>
      <c r="X66" s="911"/>
      <c r="Y66" s="1097"/>
      <c r="Z66" s="161"/>
      <c r="AG66" s="159"/>
      <c r="AH66" s="1096"/>
      <c r="AI66" s="911"/>
      <c r="AJ66" s="911"/>
      <c r="AK66" s="911"/>
      <c r="AL66" s="911"/>
      <c r="AM66" s="911"/>
      <c r="AN66" s="911"/>
      <c r="AO66" s="911"/>
      <c r="AP66" s="911"/>
      <c r="AQ66" s="911"/>
      <c r="AR66" s="911"/>
      <c r="AS66" s="911"/>
      <c r="AT66" s="911"/>
      <c r="AU66" s="911"/>
      <c r="AV66" s="911"/>
      <c r="AW66" s="911"/>
      <c r="AX66" s="911"/>
      <c r="AY66" s="911"/>
      <c r="AZ66" s="911"/>
      <c r="BA66" s="911"/>
      <c r="BB66" s="911"/>
      <c r="BC66" s="911"/>
      <c r="BD66" s="911"/>
      <c r="BE66" s="1097"/>
      <c r="BF66" s="161"/>
    </row>
    <row r="67" spans="1:58" ht="12.75" customHeight="1" x14ac:dyDescent="0.2">
      <c r="A67" s="159"/>
      <c r="B67" s="1096"/>
      <c r="C67" s="911"/>
      <c r="D67" s="911"/>
      <c r="E67" s="911"/>
      <c r="F67" s="911"/>
      <c r="G67" s="911"/>
      <c r="H67" s="911"/>
      <c r="I67" s="911"/>
      <c r="J67" s="911"/>
      <c r="K67" s="911"/>
      <c r="L67" s="911"/>
      <c r="M67" s="911"/>
      <c r="N67" s="911"/>
      <c r="O67" s="911"/>
      <c r="P67" s="911"/>
      <c r="Q67" s="911"/>
      <c r="R67" s="911"/>
      <c r="S67" s="911"/>
      <c r="T67" s="911"/>
      <c r="U67" s="911"/>
      <c r="V67" s="911"/>
      <c r="W67" s="911"/>
      <c r="X67" s="911"/>
      <c r="Y67" s="1097"/>
      <c r="Z67" s="161"/>
      <c r="AG67" s="159"/>
      <c r="AH67" s="1096"/>
      <c r="AI67" s="911"/>
      <c r="AJ67" s="911"/>
      <c r="AK67" s="911"/>
      <c r="AL67" s="911"/>
      <c r="AM67" s="911"/>
      <c r="AN67" s="911"/>
      <c r="AO67" s="911"/>
      <c r="AP67" s="911"/>
      <c r="AQ67" s="911"/>
      <c r="AR67" s="911"/>
      <c r="AS67" s="911"/>
      <c r="AT67" s="911"/>
      <c r="AU67" s="911"/>
      <c r="AV67" s="911"/>
      <c r="AW67" s="911"/>
      <c r="AX67" s="911"/>
      <c r="AY67" s="911"/>
      <c r="AZ67" s="911"/>
      <c r="BA67" s="911"/>
      <c r="BB67" s="911"/>
      <c r="BC67" s="911"/>
      <c r="BD67" s="911"/>
      <c r="BE67" s="1097"/>
      <c r="BF67" s="161"/>
    </row>
    <row r="68" spans="1:58" ht="12.75" customHeight="1" thickBot="1" x14ac:dyDescent="0.25">
      <c r="A68" s="159"/>
      <c r="B68" s="1094"/>
      <c r="C68" s="919"/>
      <c r="D68" s="919"/>
      <c r="E68" s="919"/>
      <c r="F68" s="919"/>
      <c r="G68" s="919"/>
      <c r="H68" s="919"/>
      <c r="I68" s="919"/>
      <c r="J68" s="919"/>
      <c r="K68" s="919"/>
      <c r="L68" s="919"/>
      <c r="M68" s="919"/>
      <c r="N68" s="919"/>
      <c r="O68" s="919"/>
      <c r="P68" s="919"/>
      <c r="Q68" s="919"/>
      <c r="R68" s="919"/>
      <c r="S68" s="919"/>
      <c r="T68" s="919"/>
      <c r="U68" s="919"/>
      <c r="V68" s="919"/>
      <c r="W68" s="919"/>
      <c r="X68" s="919"/>
      <c r="Y68" s="1095"/>
      <c r="Z68" s="161"/>
      <c r="AG68" s="159"/>
      <c r="AH68" s="1094"/>
      <c r="AI68" s="919"/>
      <c r="AJ68" s="919"/>
      <c r="AK68" s="919"/>
      <c r="AL68" s="919"/>
      <c r="AM68" s="919"/>
      <c r="AN68" s="919"/>
      <c r="AO68" s="919"/>
      <c r="AP68" s="919"/>
      <c r="AQ68" s="919"/>
      <c r="AR68" s="919"/>
      <c r="AS68" s="919"/>
      <c r="AT68" s="919"/>
      <c r="AU68" s="919"/>
      <c r="AV68" s="919"/>
      <c r="AW68" s="919"/>
      <c r="AX68" s="919"/>
      <c r="AY68" s="919"/>
      <c r="AZ68" s="919"/>
      <c r="BA68" s="919"/>
      <c r="BB68" s="919"/>
      <c r="BC68" s="919"/>
      <c r="BD68" s="919"/>
      <c r="BE68" s="1095"/>
      <c r="BF68" s="161"/>
    </row>
    <row r="69" spans="1:58" ht="12.75" customHeight="1" thickBot="1" x14ac:dyDescent="0.25">
      <c r="A69" s="163"/>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5"/>
      <c r="AG69" s="163"/>
      <c r="AH69" s="164"/>
      <c r="AI69" s="164"/>
      <c r="AJ69" s="164"/>
      <c r="AK69" s="164"/>
      <c r="AL69" s="164"/>
      <c r="AM69" s="164"/>
      <c r="AN69" s="164"/>
      <c r="AO69" s="164"/>
      <c r="AP69" s="164"/>
      <c r="AQ69" s="164"/>
      <c r="AR69" s="164"/>
      <c r="AS69" s="164"/>
      <c r="AT69" s="164"/>
      <c r="AU69" s="164"/>
      <c r="AV69" s="164"/>
      <c r="AW69" s="164"/>
      <c r="AX69" s="164"/>
      <c r="AY69" s="164"/>
      <c r="AZ69" s="164"/>
      <c r="BA69" s="164"/>
      <c r="BB69" s="164"/>
      <c r="BC69" s="164"/>
      <c r="BD69" s="164"/>
      <c r="BE69" s="164"/>
      <c r="BF69" s="165"/>
    </row>
    <row r="70" spans="1:58" ht="12.75" customHeight="1" x14ac:dyDescent="0.2"/>
    <row r="71" spans="1:58" ht="12.75" customHeight="1" x14ac:dyDescent="0.2"/>
    <row r="72" spans="1:58" ht="12.75" customHeight="1" x14ac:dyDescent="0.2"/>
    <row r="73" spans="1:58" ht="12.75" customHeight="1" x14ac:dyDescent="0.2"/>
    <row r="74" spans="1:58" ht="12.75" customHeight="1" x14ac:dyDescent="0.2"/>
    <row r="75" spans="1:58" ht="12.75" customHeight="1" x14ac:dyDescent="0.2"/>
    <row r="76" spans="1:58" ht="12.75" customHeight="1" x14ac:dyDescent="0.2"/>
  </sheetData>
  <sheetProtection password="E882" sheet="1" objects="1" scenarios="1" selectLockedCells="1"/>
  <mergeCells count="292">
    <mergeCell ref="AH63:BE63"/>
    <mergeCell ref="AH64:BE64"/>
    <mergeCell ref="AH65:BE65"/>
    <mergeCell ref="AH66:BE66"/>
    <mergeCell ref="AH67:BE67"/>
    <mergeCell ref="AH68:BE68"/>
    <mergeCell ref="W11:Y11"/>
    <mergeCell ref="B13:D13"/>
    <mergeCell ref="F13:H13"/>
    <mergeCell ref="J13:L13"/>
    <mergeCell ref="O13:Q13"/>
    <mergeCell ref="S13:U13"/>
    <mergeCell ref="W13:Y13"/>
    <mergeCell ref="B14:D14"/>
    <mergeCell ref="F14:H14"/>
    <mergeCell ref="J14:L14"/>
    <mergeCell ref="O14:Q14"/>
    <mergeCell ref="S14:U14"/>
    <mergeCell ref="W14:Y14"/>
    <mergeCell ref="AH53:BE53"/>
    <mergeCell ref="AH55:BE55"/>
    <mergeCell ref="AH56:BE56"/>
    <mergeCell ref="AH57:BE57"/>
    <mergeCell ref="AH58:BE58"/>
    <mergeCell ref="AH59:BE59"/>
    <mergeCell ref="AH60:BE60"/>
    <mergeCell ref="AH61:BE61"/>
    <mergeCell ref="AH62:BE62"/>
    <mergeCell ref="AH48:AJ48"/>
    <mergeCell ref="AL48:AN48"/>
    <mergeCell ref="AP48:AR48"/>
    <mergeCell ref="AU48:AW48"/>
    <mergeCell ref="AY48:BA48"/>
    <mergeCell ref="BC48:BE48"/>
    <mergeCell ref="AH50:BE50"/>
    <mergeCell ref="AH51:BE51"/>
    <mergeCell ref="AH52:BE52"/>
    <mergeCell ref="AU45:AW45"/>
    <mergeCell ref="AY45:BA45"/>
    <mergeCell ref="BC45:BE45"/>
    <mergeCell ref="AH47:AJ47"/>
    <mergeCell ref="AL47:AN47"/>
    <mergeCell ref="AP47:AR47"/>
    <mergeCell ref="AU47:AW47"/>
    <mergeCell ref="AY47:BA47"/>
    <mergeCell ref="BC47:BE47"/>
    <mergeCell ref="B63:Y63"/>
    <mergeCell ref="B64:Y64"/>
    <mergeCell ref="B65:Y65"/>
    <mergeCell ref="B66:Y66"/>
    <mergeCell ref="B67:Y67"/>
    <mergeCell ref="B68:Y68"/>
    <mergeCell ref="AG37:AK37"/>
    <mergeCell ref="AL37:AZ37"/>
    <mergeCell ref="BA37:BC37"/>
    <mergeCell ref="AH39:AJ39"/>
    <mergeCell ref="AK39:BE39"/>
    <mergeCell ref="AH41:AI41"/>
    <mergeCell ref="AJ41:AK41"/>
    <mergeCell ref="AH42:AI42"/>
    <mergeCell ref="AJ42:AK42"/>
    <mergeCell ref="AH44:AJ44"/>
    <mergeCell ref="AL44:AN44"/>
    <mergeCell ref="AP44:AR44"/>
    <mergeCell ref="AU44:AW44"/>
    <mergeCell ref="AY44:BA44"/>
    <mergeCell ref="BC44:BE44"/>
    <mergeCell ref="AH45:AJ45"/>
    <mergeCell ref="AL45:AN45"/>
    <mergeCell ref="AP45:AR45"/>
    <mergeCell ref="B53:Y53"/>
    <mergeCell ref="B55:Y55"/>
    <mergeCell ref="B56:Y56"/>
    <mergeCell ref="B57:Y57"/>
    <mergeCell ref="B58:Y58"/>
    <mergeCell ref="B59:Y59"/>
    <mergeCell ref="B60:Y60"/>
    <mergeCell ref="B61:Y61"/>
    <mergeCell ref="B62:Y62"/>
    <mergeCell ref="B48:D48"/>
    <mergeCell ref="F48:H48"/>
    <mergeCell ref="J48:L48"/>
    <mergeCell ref="O48:Q48"/>
    <mergeCell ref="S48:U48"/>
    <mergeCell ref="W48:Y48"/>
    <mergeCell ref="B50:Y50"/>
    <mergeCell ref="B51:Y51"/>
    <mergeCell ref="B52:Y52"/>
    <mergeCell ref="B45:D45"/>
    <mergeCell ref="F45:H45"/>
    <mergeCell ref="J45:L45"/>
    <mergeCell ref="O45:Q45"/>
    <mergeCell ref="S45:U45"/>
    <mergeCell ref="W45:Y45"/>
    <mergeCell ref="B47:D47"/>
    <mergeCell ref="F47:H47"/>
    <mergeCell ref="J47:L47"/>
    <mergeCell ref="O47:Q47"/>
    <mergeCell ref="S47:U47"/>
    <mergeCell ref="W47:Y47"/>
    <mergeCell ref="B39:D39"/>
    <mergeCell ref="E39:Y39"/>
    <mergeCell ref="B41:C41"/>
    <mergeCell ref="D41:E41"/>
    <mergeCell ref="B42:C42"/>
    <mergeCell ref="D42:E42"/>
    <mergeCell ref="B44:D44"/>
    <mergeCell ref="F44:H44"/>
    <mergeCell ref="J44:L44"/>
    <mergeCell ref="O44:Q44"/>
    <mergeCell ref="S44:U44"/>
    <mergeCell ref="W44:Y44"/>
    <mergeCell ref="F41:G41"/>
    <mergeCell ref="H41:I41"/>
    <mergeCell ref="J41:K41"/>
    <mergeCell ref="L41:M41"/>
    <mergeCell ref="N41:O41"/>
    <mergeCell ref="P41:Q41"/>
    <mergeCell ref="R41:S41"/>
    <mergeCell ref="T41:U41"/>
    <mergeCell ref="V41:W41"/>
    <mergeCell ref="X41:Y41"/>
    <mergeCell ref="F42:G42"/>
    <mergeCell ref="H42:I42"/>
    <mergeCell ref="A37:E37"/>
    <mergeCell ref="F37:T37"/>
    <mergeCell ref="U37:W37"/>
    <mergeCell ref="X37:Z37"/>
    <mergeCell ref="BD37:BF37"/>
    <mergeCell ref="B16:Y16"/>
    <mergeCell ref="B17:Y17"/>
    <mergeCell ref="B18:Y18"/>
    <mergeCell ref="B29:Y29"/>
    <mergeCell ref="B30:Y30"/>
    <mergeCell ref="B31:Y31"/>
    <mergeCell ref="B32:Y32"/>
    <mergeCell ref="B33:Y33"/>
    <mergeCell ref="B34:Y34"/>
    <mergeCell ref="B19:Y19"/>
    <mergeCell ref="B21:Y21"/>
    <mergeCell ref="B22:Y22"/>
    <mergeCell ref="B23:Y23"/>
    <mergeCell ref="B24:Y24"/>
    <mergeCell ref="B25:Y25"/>
    <mergeCell ref="B26:Y26"/>
    <mergeCell ref="B27:Y27"/>
    <mergeCell ref="B28:Y28"/>
    <mergeCell ref="AH17:BE17"/>
    <mergeCell ref="AH34:BE34"/>
    <mergeCell ref="AH26:BE26"/>
    <mergeCell ref="AH18:BE18"/>
    <mergeCell ref="AH24:BE24"/>
    <mergeCell ref="AH25:BE25"/>
    <mergeCell ref="AH27:BE27"/>
    <mergeCell ref="AH28:BE28"/>
    <mergeCell ref="AH29:BE29"/>
    <mergeCell ref="AH30:BE30"/>
    <mergeCell ref="AH31:BE31"/>
    <mergeCell ref="AH32:BE32"/>
    <mergeCell ref="AH33:BE33"/>
    <mergeCell ref="AH21:BE21"/>
    <mergeCell ref="AH22:BE22"/>
    <mergeCell ref="AH23:BE23"/>
    <mergeCell ref="AH19:BE19"/>
    <mergeCell ref="B5:D5"/>
    <mergeCell ref="E5:Y5"/>
    <mergeCell ref="AU10:AW10"/>
    <mergeCell ref="AU11:AW11"/>
    <mergeCell ref="AY10:BA10"/>
    <mergeCell ref="AH7:AI7"/>
    <mergeCell ref="AJ7:AK7"/>
    <mergeCell ref="AH8:AI8"/>
    <mergeCell ref="AJ8:AK8"/>
    <mergeCell ref="B7:C7"/>
    <mergeCell ref="D7:E7"/>
    <mergeCell ref="B8:C8"/>
    <mergeCell ref="D8:E8"/>
    <mergeCell ref="B10:D10"/>
    <mergeCell ref="F10:H10"/>
    <mergeCell ref="J10:L10"/>
    <mergeCell ref="O10:Q10"/>
    <mergeCell ref="S10:U10"/>
    <mergeCell ref="W10:Y10"/>
    <mergeCell ref="B11:D11"/>
    <mergeCell ref="F11:H11"/>
    <mergeCell ref="J11:L11"/>
    <mergeCell ref="O11:Q11"/>
    <mergeCell ref="S11:U11"/>
    <mergeCell ref="A1:D1"/>
    <mergeCell ref="AG1:AK1"/>
    <mergeCell ref="AG3:AK3"/>
    <mergeCell ref="AL3:AZ3"/>
    <mergeCell ref="A3:E3"/>
    <mergeCell ref="F3:T3"/>
    <mergeCell ref="U3:W3"/>
    <mergeCell ref="X3:Z3"/>
    <mergeCell ref="BA3:BC3"/>
    <mergeCell ref="AL1:BF1"/>
    <mergeCell ref="E1:Z1"/>
    <mergeCell ref="BD3:BF3"/>
    <mergeCell ref="AH16:BE16"/>
    <mergeCell ref="BC10:BE10"/>
    <mergeCell ref="AH10:AJ10"/>
    <mergeCell ref="BC11:BE11"/>
    <mergeCell ref="AH13:AJ13"/>
    <mergeCell ref="AH11:AJ11"/>
    <mergeCell ref="AY11:BA11"/>
    <mergeCell ref="AL10:AN10"/>
    <mergeCell ref="AL11:AN11"/>
    <mergeCell ref="AP10:AR10"/>
    <mergeCell ref="AP11:AR11"/>
    <mergeCell ref="BC14:BE14"/>
    <mergeCell ref="AH14:AJ14"/>
    <mergeCell ref="AL14:AN14"/>
    <mergeCell ref="AH5:AJ5"/>
    <mergeCell ref="AK5:BE5"/>
    <mergeCell ref="AL13:AN13"/>
    <mergeCell ref="AP13:AR13"/>
    <mergeCell ref="AU13:AW13"/>
    <mergeCell ref="AY13:BA13"/>
    <mergeCell ref="BC13:BE13"/>
    <mergeCell ref="AP14:AR14"/>
    <mergeCell ref="AU14:AW14"/>
    <mergeCell ref="AY14:BA14"/>
    <mergeCell ref="AZ7:BA7"/>
    <mergeCell ref="BB7:BC7"/>
    <mergeCell ref="BD7:BE7"/>
    <mergeCell ref="AZ8:BA8"/>
    <mergeCell ref="BB8:BC8"/>
    <mergeCell ref="BD8:BE8"/>
    <mergeCell ref="F7:G7"/>
    <mergeCell ref="H8:I8"/>
    <mergeCell ref="H7:I7"/>
    <mergeCell ref="F8:G8"/>
    <mergeCell ref="J7:K7"/>
    <mergeCell ref="L7:M7"/>
    <mergeCell ref="N7:O7"/>
    <mergeCell ref="P7:Q7"/>
    <mergeCell ref="R7:S7"/>
    <mergeCell ref="T7:U7"/>
    <mergeCell ref="V7:W7"/>
    <mergeCell ref="J8:K8"/>
    <mergeCell ref="L8:M8"/>
    <mergeCell ref="N8:O8"/>
    <mergeCell ref="P8:Q8"/>
    <mergeCell ref="R8:S8"/>
    <mergeCell ref="T8:U8"/>
    <mergeCell ref="V8:W8"/>
    <mergeCell ref="X7:Y7"/>
    <mergeCell ref="X8:Y8"/>
    <mergeCell ref="AL7:AM7"/>
    <mergeCell ref="AN7:AO7"/>
    <mergeCell ref="AP7:AQ7"/>
    <mergeCell ref="AR7:AS7"/>
    <mergeCell ref="AT7:AU7"/>
    <mergeCell ref="AV7:AW7"/>
    <mergeCell ref="AX7:AY7"/>
    <mergeCell ref="AL8:AM8"/>
    <mergeCell ref="AN8:AO8"/>
    <mergeCell ref="AP8:AQ8"/>
    <mergeCell ref="AR8:AS8"/>
    <mergeCell ref="AT8:AU8"/>
    <mergeCell ref="AV8:AW8"/>
    <mergeCell ref="AX8:AY8"/>
    <mergeCell ref="J42:K42"/>
    <mergeCell ref="L42:M42"/>
    <mergeCell ref="N42:O42"/>
    <mergeCell ref="P42:Q42"/>
    <mergeCell ref="R42:S42"/>
    <mergeCell ref="T42:U42"/>
    <mergeCell ref="V42:W42"/>
    <mergeCell ref="X42:Y42"/>
    <mergeCell ref="AL41:AM41"/>
    <mergeCell ref="AL42:AM42"/>
    <mergeCell ref="AN41:AO41"/>
    <mergeCell ref="AP41:AQ41"/>
    <mergeCell ref="AR41:AS41"/>
    <mergeCell ref="AT41:AU41"/>
    <mergeCell ref="AV41:AW41"/>
    <mergeCell ref="AX41:AY41"/>
    <mergeCell ref="AZ41:BA41"/>
    <mergeCell ref="BB41:BC41"/>
    <mergeCell ref="BD41:BE41"/>
    <mergeCell ref="AN42:AO42"/>
    <mergeCell ref="AP42:AQ42"/>
    <mergeCell ref="AR42:AS42"/>
    <mergeCell ref="AT42:AU42"/>
    <mergeCell ref="AV42:AW42"/>
    <mergeCell ref="AX42:AY42"/>
    <mergeCell ref="AZ42:BA42"/>
    <mergeCell ref="BB42:BC42"/>
    <mergeCell ref="BD42:BE42"/>
  </mergeCells>
  <printOptions horizontalCentered="1"/>
  <pageMargins left="0.19685039370078741" right="0.19685039370078741" top="0.19685039370078741" bottom="0.19685039370078741" header="0.51181102362204722" footer="0.51181102362204722"/>
  <pageSetup paperSize="9" scale="99"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BG196"/>
  <sheetViews>
    <sheetView showGridLines="0" zoomScale="125" zoomScaleNormal="125" workbookViewId="0">
      <pane ySplit="3" topLeftCell="A4" activePane="bottomLeft" state="frozen"/>
      <selection pane="bottomLeft" activeCell="A4" sqref="A4:V4"/>
    </sheetView>
  </sheetViews>
  <sheetFormatPr baseColWidth="10" defaultColWidth="1.7109375" defaultRowHeight="12" customHeight="1" x14ac:dyDescent="0.2"/>
  <cols>
    <col min="1" max="50" width="1.7109375" style="31"/>
    <col min="51" max="58" width="1.7109375" style="351"/>
    <col min="59" max="16384" width="1.7109375" style="31"/>
  </cols>
  <sheetData>
    <row r="1" spans="1:58" ht="15.75" customHeight="1" thickTop="1" thickBot="1" x14ac:dyDescent="0.25">
      <c r="A1" s="1133" t="s">
        <v>181</v>
      </c>
      <c r="B1" s="1134"/>
      <c r="C1" s="1134"/>
      <c r="D1" s="1135"/>
      <c r="E1" s="1136" t="str">
        <f>IF(ISBLANK(Name),"",Name)</f>
        <v/>
      </c>
      <c r="F1" s="1137"/>
      <c r="G1" s="1137"/>
      <c r="H1" s="1137"/>
      <c r="I1" s="1137"/>
      <c r="J1" s="1137"/>
      <c r="K1" s="1137"/>
      <c r="L1" s="1137"/>
      <c r="M1" s="1137"/>
      <c r="N1" s="1137"/>
      <c r="O1" s="1137"/>
      <c r="P1" s="1137"/>
      <c r="Q1" s="1137"/>
      <c r="R1" s="1137"/>
      <c r="S1" s="1138"/>
      <c r="T1" s="5"/>
      <c r="U1" s="1155" t="s">
        <v>1281</v>
      </c>
      <c r="V1" s="1156"/>
      <c r="W1" s="1156"/>
      <c r="X1" s="1156"/>
      <c r="Y1" s="1156"/>
      <c r="Z1" s="1156"/>
      <c r="AA1" s="1157" t="str">
        <f>IF(SUM(AK4:AK195)&gt;0,SUM(AK4:AK195),"")</f>
        <v/>
      </c>
      <c r="AB1" s="1157"/>
      <c r="AC1" s="1157"/>
      <c r="AD1" s="1157"/>
      <c r="AE1" s="1158"/>
      <c r="AG1" s="1155" t="s">
        <v>1282</v>
      </c>
      <c r="AH1" s="1156"/>
      <c r="AI1" s="1156"/>
      <c r="AJ1" s="1156"/>
      <c r="AK1" s="1156"/>
      <c r="AL1" s="1156"/>
      <c r="AM1" s="1157" t="str">
        <f>IF(SUM(AT4:AT195)&gt;0,SUM(AT4:AT195),"")</f>
        <v/>
      </c>
      <c r="AN1" s="1157"/>
      <c r="AO1" s="1157"/>
      <c r="AP1" s="1157"/>
      <c r="AQ1" s="1158"/>
      <c r="AS1" s="1150" t="s">
        <v>2</v>
      </c>
      <c r="AT1" s="1151"/>
      <c r="AU1" s="1151"/>
      <c r="AV1" s="1151"/>
      <c r="AW1" s="1152"/>
      <c r="AX1" s="1153" t="str">
        <f>IF(ISBLANK(Spieler),"",Spieler)</f>
        <v/>
      </c>
      <c r="AY1" s="1153"/>
      <c r="AZ1" s="1153"/>
      <c r="BA1" s="1153"/>
      <c r="BB1" s="1153"/>
      <c r="BC1" s="1153"/>
      <c r="BD1" s="1153"/>
      <c r="BE1" s="1153"/>
      <c r="BF1" s="1154"/>
    </row>
    <row r="2" spans="1:58" ht="4.5" customHeight="1" thickTop="1" thickBot="1" x14ac:dyDescent="0.25"/>
    <row r="3" spans="1:58" ht="12" customHeight="1" thickTop="1" thickBot="1" x14ac:dyDescent="0.25">
      <c r="A3" s="1139" t="s">
        <v>1278</v>
      </c>
      <c r="B3" s="1140"/>
      <c r="C3" s="1140"/>
      <c r="D3" s="1140"/>
      <c r="E3" s="1140"/>
      <c r="F3" s="1140"/>
      <c r="G3" s="1140"/>
      <c r="H3" s="1140"/>
      <c r="I3" s="1140"/>
      <c r="J3" s="1140"/>
      <c r="K3" s="1140"/>
      <c r="L3" s="1140"/>
      <c r="M3" s="1140"/>
      <c r="N3" s="1140"/>
      <c r="O3" s="1140"/>
      <c r="P3" s="1140"/>
      <c r="Q3" s="1140"/>
      <c r="R3" s="1140"/>
      <c r="S3" s="1140"/>
      <c r="T3" s="1140"/>
      <c r="U3" s="1140"/>
      <c r="V3" s="1140"/>
      <c r="W3" s="1141" t="s">
        <v>269</v>
      </c>
      <c r="X3" s="1141"/>
      <c r="Y3" s="1141"/>
      <c r="Z3" s="1141"/>
      <c r="AA3" s="1141"/>
      <c r="AB3" s="1141"/>
      <c r="AC3" s="1141" t="s">
        <v>1279</v>
      </c>
      <c r="AD3" s="1141"/>
      <c r="AE3" s="1141"/>
      <c r="AF3" s="1141"/>
      <c r="AG3" s="1141" t="s">
        <v>1280</v>
      </c>
      <c r="AH3" s="1141"/>
      <c r="AI3" s="1141"/>
      <c r="AJ3" s="1141"/>
      <c r="AK3" s="1141" t="s">
        <v>60</v>
      </c>
      <c r="AL3" s="1141"/>
      <c r="AM3" s="1141"/>
      <c r="AN3" s="1141"/>
      <c r="AO3" s="1141"/>
      <c r="AP3" s="1141" t="s">
        <v>70</v>
      </c>
      <c r="AQ3" s="1141"/>
      <c r="AR3" s="1141"/>
      <c r="AS3" s="1141"/>
      <c r="AT3" s="1141" t="s">
        <v>62</v>
      </c>
      <c r="AU3" s="1141"/>
      <c r="AV3" s="1141"/>
      <c r="AW3" s="1141"/>
      <c r="AX3" s="1141"/>
      <c r="AY3" s="1141" t="s">
        <v>1283</v>
      </c>
      <c r="AZ3" s="1141"/>
      <c r="BA3" s="1141"/>
      <c r="BB3" s="1141"/>
      <c r="BC3" s="1141"/>
      <c r="BD3" s="1141"/>
      <c r="BE3" s="1141"/>
      <c r="BF3" s="1142"/>
    </row>
    <row r="4" spans="1:58" ht="12" customHeight="1" x14ac:dyDescent="0.2">
      <c r="A4" s="1148"/>
      <c r="B4" s="1149"/>
      <c r="C4" s="1149"/>
      <c r="D4" s="1149"/>
      <c r="E4" s="1149"/>
      <c r="F4" s="1149"/>
      <c r="G4" s="1149"/>
      <c r="H4" s="1149"/>
      <c r="I4" s="1149"/>
      <c r="J4" s="1149"/>
      <c r="K4" s="1149"/>
      <c r="L4" s="1149"/>
      <c r="M4" s="1149"/>
      <c r="N4" s="1149"/>
      <c r="O4" s="1149"/>
      <c r="P4" s="1149"/>
      <c r="Q4" s="1149"/>
      <c r="R4" s="1149"/>
      <c r="S4" s="1149"/>
      <c r="T4" s="1149"/>
      <c r="U4" s="1149"/>
      <c r="V4" s="1149"/>
      <c r="W4" s="1146"/>
      <c r="X4" s="1146"/>
      <c r="Y4" s="1146"/>
      <c r="Z4" s="1146"/>
      <c r="AA4" s="1146"/>
      <c r="AB4" s="1146"/>
      <c r="AC4" s="1147"/>
      <c r="AD4" s="1147"/>
      <c r="AE4" s="1147"/>
      <c r="AF4" s="1147"/>
      <c r="AG4" s="1147"/>
      <c r="AH4" s="1147"/>
      <c r="AI4" s="1147"/>
      <c r="AJ4" s="1147"/>
      <c r="AK4" s="1147"/>
      <c r="AL4" s="1147"/>
      <c r="AM4" s="1147"/>
      <c r="AN4" s="1147"/>
      <c r="AO4" s="1147"/>
      <c r="AP4" s="1147"/>
      <c r="AQ4" s="1147"/>
      <c r="AR4" s="1147"/>
      <c r="AS4" s="1147"/>
      <c r="AT4" s="1147"/>
      <c r="AU4" s="1147"/>
      <c r="AV4" s="1147"/>
      <c r="AW4" s="1147"/>
      <c r="AX4" s="1147"/>
      <c r="AY4" s="1143"/>
      <c r="AZ4" s="1144"/>
      <c r="BA4" s="1144"/>
      <c r="BB4" s="1144"/>
      <c r="BC4" s="1144"/>
      <c r="BD4" s="1144"/>
      <c r="BE4" s="1144"/>
      <c r="BF4" s="1145"/>
    </row>
    <row r="5" spans="1:58" ht="12" customHeight="1" x14ac:dyDescent="0.2">
      <c r="A5" s="1111"/>
      <c r="B5" s="1112"/>
      <c r="C5" s="1112"/>
      <c r="D5" s="1112"/>
      <c r="E5" s="1112"/>
      <c r="F5" s="1112"/>
      <c r="G5" s="1112"/>
      <c r="H5" s="1112"/>
      <c r="I5" s="1112"/>
      <c r="J5" s="1112"/>
      <c r="K5" s="1112"/>
      <c r="L5" s="1112"/>
      <c r="M5" s="1112"/>
      <c r="N5" s="1112"/>
      <c r="O5" s="1112"/>
      <c r="P5" s="1112"/>
      <c r="Q5" s="1112"/>
      <c r="R5" s="1112"/>
      <c r="S5" s="1112"/>
      <c r="T5" s="1112"/>
      <c r="U5" s="1112"/>
      <c r="V5" s="1112"/>
      <c r="W5" s="1113"/>
      <c r="X5" s="1113"/>
      <c r="Y5" s="1113"/>
      <c r="Z5" s="1113"/>
      <c r="AA5" s="1113"/>
      <c r="AB5" s="1113"/>
      <c r="AC5" s="1114"/>
      <c r="AD5" s="1114"/>
      <c r="AE5" s="1114"/>
      <c r="AF5" s="1114"/>
      <c r="AG5" s="1114"/>
      <c r="AH5" s="1114"/>
      <c r="AI5" s="1114"/>
      <c r="AJ5" s="1114"/>
      <c r="AK5" s="1114"/>
      <c r="AL5" s="1114"/>
      <c r="AM5" s="1114"/>
      <c r="AN5" s="1114"/>
      <c r="AO5" s="1114"/>
      <c r="AP5" s="1114"/>
      <c r="AQ5" s="1114"/>
      <c r="AR5" s="1114"/>
      <c r="AS5" s="1114"/>
      <c r="AT5" s="1114"/>
      <c r="AU5" s="1114"/>
      <c r="AV5" s="1114"/>
      <c r="AW5" s="1114"/>
      <c r="AX5" s="1114"/>
      <c r="AY5" s="1115"/>
      <c r="AZ5" s="1116"/>
      <c r="BA5" s="1116"/>
      <c r="BB5" s="1116"/>
      <c r="BC5" s="1116"/>
      <c r="BD5" s="1116"/>
      <c r="BE5" s="1116"/>
      <c r="BF5" s="1117"/>
    </row>
    <row r="6" spans="1:58" ht="12" customHeight="1" x14ac:dyDescent="0.2">
      <c r="A6" s="1118"/>
      <c r="B6" s="1119"/>
      <c r="C6" s="1119"/>
      <c r="D6" s="1119"/>
      <c r="E6" s="1119"/>
      <c r="F6" s="1119"/>
      <c r="G6" s="1119"/>
      <c r="H6" s="1119"/>
      <c r="I6" s="1119"/>
      <c r="J6" s="1119"/>
      <c r="K6" s="1119"/>
      <c r="L6" s="1119"/>
      <c r="M6" s="1119"/>
      <c r="N6" s="1119"/>
      <c r="O6" s="1119"/>
      <c r="P6" s="1119"/>
      <c r="Q6" s="1119"/>
      <c r="R6" s="1119"/>
      <c r="S6" s="1119"/>
      <c r="T6" s="1119"/>
      <c r="U6" s="1119"/>
      <c r="V6" s="1119"/>
      <c r="W6" s="1120"/>
      <c r="X6" s="1120"/>
      <c r="Y6" s="1120"/>
      <c r="Z6" s="1120"/>
      <c r="AA6" s="1120"/>
      <c r="AB6" s="1120"/>
      <c r="AC6" s="1121"/>
      <c r="AD6" s="1121"/>
      <c r="AE6" s="1121"/>
      <c r="AF6" s="1121"/>
      <c r="AG6" s="1121"/>
      <c r="AH6" s="1121"/>
      <c r="AI6" s="1121"/>
      <c r="AJ6" s="1121"/>
      <c r="AK6" s="1121"/>
      <c r="AL6" s="1121"/>
      <c r="AM6" s="1121"/>
      <c r="AN6" s="1121"/>
      <c r="AO6" s="1121"/>
      <c r="AP6" s="1121"/>
      <c r="AQ6" s="1121"/>
      <c r="AR6" s="1121"/>
      <c r="AS6" s="1121"/>
      <c r="AT6" s="1121"/>
      <c r="AU6" s="1121"/>
      <c r="AV6" s="1121"/>
      <c r="AW6" s="1121"/>
      <c r="AX6" s="1121"/>
      <c r="AY6" s="1122"/>
      <c r="AZ6" s="1123"/>
      <c r="BA6" s="1123"/>
      <c r="BB6" s="1123"/>
      <c r="BC6" s="1123"/>
      <c r="BD6" s="1123"/>
      <c r="BE6" s="1123"/>
      <c r="BF6" s="1124"/>
    </row>
    <row r="7" spans="1:58" ht="12" customHeight="1" x14ac:dyDescent="0.2">
      <c r="A7" s="1111"/>
      <c r="B7" s="1112"/>
      <c r="C7" s="1112"/>
      <c r="D7" s="1112"/>
      <c r="E7" s="1112"/>
      <c r="F7" s="1112"/>
      <c r="G7" s="1112"/>
      <c r="H7" s="1112"/>
      <c r="I7" s="1112"/>
      <c r="J7" s="1112"/>
      <c r="K7" s="1112"/>
      <c r="L7" s="1112"/>
      <c r="M7" s="1112"/>
      <c r="N7" s="1112"/>
      <c r="O7" s="1112"/>
      <c r="P7" s="1112"/>
      <c r="Q7" s="1112"/>
      <c r="R7" s="1112"/>
      <c r="S7" s="1112"/>
      <c r="T7" s="1112"/>
      <c r="U7" s="1112"/>
      <c r="V7" s="1112"/>
      <c r="W7" s="1113"/>
      <c r="X7" s="1113"/>
      <c r="Y7" s="1113"/>
      <c r="Z7" s="1113"/>
      <c r="AA7" s="1113"/>
      <c r="AB7" s="1113"/>
      <c r="AC7" s="1114"/>
      <c r="AD7" s="1114"/>
      <c r="AE7" s="1114"/>
      <c r="AF7" s="1114"/>
      <c r="AG7" s="1114"/>
      <c r="AH7" s="1114"/>
      <c r="AI7" s="1114"/>
      <c r="AJ7" s="1114"/>
      <c r="AK7" s="1114"/>
      <c r="AL7" s="1114"/>
      <c r="AM7" s="1114"/>
      <c r="AN7" s="1114"/>
      <c r="AO7" s="1114"/>
      <c r="AP7" s="1114"/>
      <c r="AQ7" s="1114"/>
      <c r="AR7" s="1114"/>
      <c r="AS7" s="1114"/>
      <c r="AT7" s="1114"/>
      <c r="AU7" s="1114"/>
      <c r="AV7" s="1114"/>
      <c r="AW7" s="1114"/>
      <c r="AX7" s="1114"/>
      <c r="AY7" s="1115"/>
      <c r="AZ7" s="1116"/>
      <c r="BA7" s="1116"/>
      <c r="BB7" s="1116"/>
      <c r="BC7" s="1116"/>
      <c r="BD7" s="1116"/>
      <c r="BE7" s="1116"/>
      <c r="BF7" s="1117"/>
    </row>
    <row r="8" spans="1:58" ht="12" customHeight="1" x14ac:dyDescent="0.2">
      <c r="A8" s="1118"/>
      <c r="B8" s="1119"/>
      <c r="C8" s="1119"/>
      <c r="D8" s="1119"/>
      <c r="E8" s="1119"/>
      <c r="F8" s="1119"/>
      <c r="G8" s="1119"/>
      <c r="H8" s="1119"/>
      <c r="I8" s="1119"/>
      <c r="J8" s="1119"/>
      <c r="K8" s="1119"/>
      <c r="L8" s="1119"/>
      <c r="M8" s="1119"/>
      <c r="N8" s="1119"/>
      <c r="O8" s="1119"/>
      <c r="P8" s="1119"/>
      <c r="Q8" s="1119"/>
      <c r="R8" s="1119"/>
      <c r="S8" s="1119"/>
      <c r="T8" s="1119"/>
      <c r="U8" s="1119"/>
      <c r="V8" s="1119"/>
      <c r="W8" s="1120"/>
      <c r="X8" s="1120"/>
      <c r="Y8" s="1120"/>
      <c r="Z8" s="1120"/>
      <c r="AA8" s="1120"/>
      <c r="AB8" s="1120"/>
      <c r="AC8" s="1121"/>
      <c r="AD8" s="1121"/>
      <c r="AE8" s="1121"/>
      <c r="AF8" s="1121"/>
      <c r="AG8" s="1121"/>
      <c r="AH8" s="1121"/>
      <c r="AI8" s="1121"/>
      <c r="AJ8" s="1121"/>
      <c r="AK8" s="1121"/>
      <c r="AL8" s="1121"/>
      <c r="AM8" s="1121"/>
      <c r="AN8" s="1121"/>
      <c r="AO8" s="1121"/>
      <c r="AP8" s="1121"/>
      <c r="AQ8" s="1121"/>
      <c r="AR8" s="1121"/>
      <c r="AS8" s="1121"/>
      <c r="AT8" s="1121"/>
      <c r="AU8" s="1121"/>
      <c r="AV8" s="1121"/>
      <c r="AW8" s="1121"/>
      <c r="AX8" s="1121"/>
      <c r="AY8" s="1122"/>
      <c r="AZ8" s="1123"/>
      <c r="BA8" s="1123"/>
      <c r="BB8" s="1123"/>
      <c r="BC8" s="1123"/>
      <c r="BD8" s="1123"/>
      <c r="BE8" s="1123"/>
      <c r="BF8" s="1124"/>
    </row>
    <row r="9" spans="1:58" ht="12" customHeight="1" x14ac:dyDescent="0.2">
      <c r="A9" s="1111"/>
      <c r="B9" s="1112"/>
      <c r="C9" s="1112"/>
      <c r="D9" s="1112"/>
      <c r="E9" s="1112"/>
      <c r="F9" s="1112"/>
      <c r="G9" s="1112"/>
      <c r="H9" s="1112"/>
      <c r="I9" s="1112"/>
      <c r="J9" s="1112"/>
      <c r="K9" s="1112"/>
      <c r="L9" s="1112"/>
      <c r="M9" s="1112"/>
      <c r="N9" s="1112"/>
      <c r="O9" s="1112"/>
      <c r="P9" s="1112"/>
      <c r="Q9" s="1112"/>
      <c r="R9" s="1112"/>
      <c r="S9" s="1112"/>
      <c r="T9" s="1112"/>
      <c r="U9" s="1112"/>
      <c r="V9" s="1112"/>
      <c r="W9" s="1113"/>
      <c r="X9" s="1113"/>
      <c r="Y9" s="1113"/>
      <c r="Z9" s="1113"/>
      <c r="AA9" s="1113"/>
      <c r="AB9" s="1113"/>
      <c r="AC9" s="1114"/>
      <c r="AD9" s="1114"/>
      <c r="AE9" s="1114"/>
      <c r="AF9" s="1114"/>
      <c r="AG9" s="1114"/>
      <c r="AH9" s="1114"/>
      <c r="AI9" s="1114"/>
      <c r="AJ9" s="1114"/>
      <c r="AK9" s="1114"/>
      <c r="AL9" s="1114"/>
      <c r="AM9" s="1114"/>
      <c r="AN9" s="1114"/>
      <c r="AO9" s="1114"/>
      <c r="AP9" s="1114"/>
      <c r="AQ9" s="1114"/>
      <c r="AR9" s="1114"/>
      <c r="AS9" s="1114"/>
      <c r="AT9" s="1114"/>
      <c r="AU9" s="1114"/>
      <c r="AV9" s="1114"/>
      <c r="AW9" s="1114"/>
      <c r="AX9" s="1114"/>
      <c r="AY9" s="1115"/>
      <c r="AZ9" s="1116"/>
      <c r="BA9" s="1116"/>
      <c r="BB9" s="1116"/>
      <c r="BC9" s="1116"/>
      <c r="BD9" s="1116"/>
      <c r="BE9" s="1116"/>
      <c r="BF9" s="1117"/>
    </row>
    <row r="10" spans="1:58" ht="12" customHeight="1" x14ac:dyDescent="0.2">
      <c r="A10" s="1118"/>
      <c r="B10" s="1119"/>
      <c r="C10" s="1119"/>
      <c r="D10" s="1119"/>
      <c r="E10" s="1119"/>
      <c r="F10" s="1119"/>
      <c r="G10" s="1119"/>
      <c r="H10" s="1119"/>
      <c r="I10" s="1119"/>
      <c r="J10" s="1119"/>
      <c r="K10" s="1119"/>
      <c r="L10" s="1119"/>
      <c r="M10" s="1119"/>
      <c r="N10" s="1119"/>
      <c r="O10" s="1119"/>
      <c r="P10" s="1119"/>
      <c r="Q10" s="1119"/>
      <c r="R10" s="1119"/>
      <c r="S10" s="1119"/>
      <c r="T10" s="1119"/>
      <c r="U10" s="1119"/>
      <c r="V10" s="1119"/>
      <c r="W10" s="1120"/>
      <c r="X10" s="1120"/>
      <c r="Y10" s="1120"/>
      <c r="Z10" s="1120"/>
      <c r="AA10" s="1120"/>
      <c r="AB10" s="1120"/>
      <c r="AC10" s="1121"/>
      <c r="AD10" s="1121"/>
      <c r="AE10" s="1121"/>
      <c r="AF10" s="1121"/>
      <c r="AG10" s="1121"/>
      <c r="AH10" s="1121"/>
      <c r="AI10" s="1121"/>
      <c r="AJ10" s="1121"/>
      <c r="AK10" s="1121"/>
      <c r="AL10" s="1121"/>
      <c r="AM10" s="1121"/>
      <c r="AN10" s="1121"/>
      <c r="AO10" s="1121"/>
      <c r="AP10" s="1121"/>
      <c r="AQ10" s="1121"/>
      <c r="AR10" s="1121"/>
      <c r="AS10" s="1121"/>
      <c r="AT10" s="1121"/>
      <c r="AU10" s="1121"/>
      <c r="AV10" s="1121"/>
      <c r="AW10" s="1121"/>
      <c r="AX10" s="1121"/>
      <c r="AY10" s="1122"/>
      <c r="AZ10" s="1123"/>
      <c r="BA10" s="1123"/>
      <c r="BB10" s="1123"/>
      <c r="BC10" s="1123"/>
      <c r="BD10" s="1123"/>
      <c r="BE10" s="1123"/>
      <c r="BF10" s="1124"/>
    </row>
    <row r="11" spans="1:58" ht="12" customHeight="1" x14ac:dyDescent="0.2">
      <c r="A11" s="1111"/>
      <c r="B11" s="1112"/>
      <c r="C11" s="1112"/>
      <c r="D11" s="1112"/>
      <c r="E11" s="1112"/>
      <c r="F11" s="1112"/>
      <c r="G11" s="1112"/>
      <c r="H11" s="1112"/>
      <c r="I11" s="1112"/>
      <c r="J11" s="1112"/>
      <c r="K11" s="1112"/>
      <c r="L11" s="1112"/>
      <c r="M11" s="1112"/>
      <c r="N11" s="1112"/>
      <c r="O11" s="1112"/>
      <c r="P11" s="1112"/>
      <c r="Q11" s="1112"/>
      <c r="R11" s="1112"/>
      <c r="S11" s="1112"/>
      <c r="T11" s="1112"/>
      <c r="U11" s="1112"/>
      <c r="V11" s="1112"/>
      <c r="W11" s="1113"/>
      <c r="X11" s="1113"/>
      <c r="Y11" s="1113"/>
      <c r="Z11" s="1113"/>
      <c r="AA11" s="1113"/>
      <c r="AB11" s="1113"/>
      <c r="AC11" s="1114"/>
      <c r="AD11" s="1114"/>
      <c r="AE11" s="1114"/>
      <c r="AF11" s="1114"/>
      <c r="AG11" s="1114"/>
      <c r="AH11" s="1114"/>
      <c r="AI11" s="1114"/>
      <c r="AJ11" s="1114"/>
      <c r="AK11" s="1114"/>
      <c r="AL11" s="1114"/>
      <c r="AM11" s="1114"/>
      <c r="AN11" s="1114"/>
      <c r="AO11" s="1114"/>
      <c r="AP11" s="1114"/>
      <c r="AQ11" s="1114"/>
      <c r="AR11" s="1114"/>
      <c r="AS11" s="1114"/>
      <c r="AT11" s="1114"/>
      <c r="AU11" s="1114"/>
      <c r="AV11" s="1114"/>
      <c r="AW11" s="1114"/>
      <c r="AX11" s="1114"/>
      <c r="AY11" s="1115"/>
      <c r="AZ11" s="1116"/>
      <c r="BA11" s="1116"/>
      <c r="BB11" s="1116"/>
      <c r="BC11" s="1116"/>
      <c r="BD11" s="1116"/>
      <c r="BE11" s="1116"/>
      <c r="BF11" s="1117"/>
    </row>
    <row r="12" spans="1:58" ht="12" customHeight="1" x14ac:dyDescent="0.2">
      <c r="A12" s="1118"/>
      <c r="B12" s="1119"/>
      <c r="C12" s="1119"/>
      <c r="D12" s="1119"/>
      <c r="E12" s="1119"/>
      <c r="F12" s="1119"/>
      <c r="G12" s="1119"/>
      <c r="H12" s="1119"/>
      <c r="I12" s="1119"/>
      <c r="J12" s="1119"/>
      <c r="K12" s="1119"/>
      <c r="L12" s="1119"/>
      <c r="M12" s="1119"/>
      <c r="N12" s="1119"/>
      <c r="O12" s="1119"/>
      <c r="P12" s="1119"/>
      <c r="Q12" s="1119"/>
      <c r="R12" s="1119"/>
      <c r="S12" s="1119"/>
      <c r="T12" s="1119"/>
      <c r="U12" s="1119"/>
      <c r="V12" s="1119"/>
      <c r="W12" s="1120"/>
      <c r="X12" s="1120"/>
      <c r="Y12" s="1120"/>
      <c r="Z12" s="1120"/>
      <c r="AA12" s="1120"/>
      <c r="AB12" s="1120"/>
      <c r="AC12" s="1121"/>
      <c r="AD12" s="1121"/>
      <c r="AE12" s="1121"/>
      <c r="AF12" s="1121"/>
      <c r="AG12" s="1121"/>
      <c r="AH12" s="1121"/>
      <c r="AI12" s="1121"/>
      <c r="AJ12" s="1121"/>
      <c r="AK12" s="1121"/>
      <c r="AL12" s="1121"/>
      <c r="AM12" s="1121"/>
      <c r="AN12" s="1121"/>
      <c r="AO12" s="1121"/>
      <c r="AP12" s="1121"/>
      <c r="AQ12" s="1121"/>
      <c r="AR12" s="1121"/>
      <c r="AS12" s="1121"/>
      <c r="AT12" s="1121"/>
      <c r="AU12" s="1121"/>
      <c r="AV12" s="1121"/>
      <c r="AW12" s="1121"/>
      <c r="AX12" s="1121"/>
      <c r="AY12" s="1122"/>
      <c r="AZ12" s="1123"/>
      <c r="BA12" s="1123"/>
      <c r="BB12" s="1123"/>
      <c r="BC12" s="1123"/>
      <c r="BD12" s="1123"/>
      <c r="BE12" s="1123"/>
      <c r="BF12" s="1124"/>
    </row>
    <row r="13" spans="1:58" ht="12" customHeight="1" x14ac:dyDescent="0.2">
      <c r="A13" s="1111"/>
      <c r="B13" s="1112"/>
      <c r="C13" s="1112"/>
      <c r="D13" s="1112"/>
      <c r="E13" s="1112"/>
      <c r="F13" s="1112"/>
      <c r="G13" s="1112"/>
      <c r="H13" s="1112"/>
      <c r="I13" s="1112"/>
      <c r="J13" s="1112"/>
      <c r="K13" s="1112"/>
      <c r="L13" s="1112"/>
      <c r="M13" s="1112"/>
      <c r="N13" s="1112"/>
      <c r="O13" s="1112"/>
      <c r="P13" s="1112"/>
      <c r="Q13" s="1112"/>
      <c r="R13" s="1112"/>
      <c r="S13" s="1112"/>
      <c r="T13" s="1112"/>
      <c r="U13" s="1112"/>
      <c r="V13" s="1112"/>
      <c r="W13" s="1113"/>
      <c r="X13" s="1113"/>
      <c r="Y13" s="1113"/>
      <c r="Z13" s="1113"/>
      <c r="AA13" s="1113"/>
      <c r="AB13" s="1113"/>
      <c r="AC13" s="1114"/>
      <c r="AD13" s="1114"/>
      <c r="AE13" s="1114"/>
      <c r="AF13" s="1114"/>
      <c r="AG13" s="1114"/>
      <c r="AH13" s="1114"/>
      <c r="AI13" s="1114"/>
      <c r="AJ13" s="1114"/>
      <c r="AK13" s="1114"/>
      <c r="AL13" s="1114"/>
      <c r="AM13" s="1114"/>
      <c r="AN13" s="1114"/>
      <c r="AO13" s="1114"/>
      <c r="AP13" s="1114"/>
      <c r="AQ13" s="1114"/>
      <c r="AR13" s="1114"/>
      <c r="AS13" s="1114"/>
      <c r="AT13" s="1114"/>
      <c r="AU13" s="1114"/>
      <c r="AV13" s="1114"/>
      <c r="AW13" s="1114"/>
      <c r="AX13" s="1114"/>
      <c r="AY13" s="1115"/>
      <c r="AZ13" s="1116"/>
      <c r="BA13" s="1116"/>
      <c r="BB13" s="1116"/>
      <c r="BC13" s="1116"/>
      <c r="BD13" s="1116"/>
      <c r="BE13" s="1116"/>
      <c r="BF13" s="1117"/>
    </row>
    <row r="14" spans="1:58" ht="12" customHeight="1" x14ac:dyDescent="0.2">
      <c r="A14" s="1118"/>
      <c r="B14" s="1119"/>
      <c r="C14" s="1119"/>
      <c r="D14" s="1119"/>
      <c r="E14" s="1119"/>
      <c r="F14" s="1119"/>
      <c r="G14" s="1119"/>
      <c r="H14" s="1119"/>
      <c r="I14" s="1119"/>
      <c r="J14" s="1119"/>
      <c r="K14" s="1119"/>
      <c r="L14" s="1119"/>
      <c r="M14" s="1119"/>
      <c r="N14" s="1119"/>
      <c r="O14" s="1119"/>
      <c r="P14" s="1119"/>
      <c r="Q14" s="1119"/>
      <c r="R14" s="1119"/>
      <c r="S14" s="1119"/>
      <c r="T14" s="1119"/>
      <c r="U14" s="1119"/>
      <c r="V14" s="1119"/>
      <c r="W14" s="1120"/>
      <c r="X14" s="1120"/>
      <c r="Y14" s="1120"/>
      <c r="Z14" s="1120"/>
      <c r="AA14" s="1120"/>
      <c r="AB14" s="1120"/>
      <c r="AC14" s="1121"/>
      <c r="AD14" s="1121"/>
      <c r="AE14" s="1121"/>
      <c r="AF14" s="1121"/>
      <c r="AG14" s="1121"/>
      <c r="AH14" s="1121"/>
      <c r="AI14" s="1121"/>
      <c r="AJ14" s="1121"/>
      <c r="AK14" s="1121"/>
      <c r="AL14" s="1121"/>
      <c r="AM14" s="1121"/>
      <c r="AN14" s="1121"/>
      <c r="AO14" s="1121"/>
      <c r="AP14" s="1121"/>
      <c r="AQ14" s="1121"/>
      <c r="AR14" s="1121"/>
      <c r="AS14" s="1121"/>
      <c r="AT14" s="1121"/>
      <c r="AU14" s="1121"/>
      <c r="AV14" s="1121"/>
      <c r="AW14" s="1121"/>
      <c r="AX14" s="1121"/>
      <c r="AY14" s="1122"/>
      <c r="AZ14" s="1123"/>
      <c r="BA14" s="1123"/>
      <c r="BB14" s="1123"/>
      <c r="BC14" s="1123"/>
      <c r="BD14" s="1123"/>
      <c r="BE14" s="1123"/>
      <c r="BF14" s="1124"/>
    </row>
    <row r="15" spans="1:58" ht="12" customHeight="1" x14ac:dyDescent="0.2">
      <c r="A15" s="1111"/>
      <c r="B15" s="1112"/>
      <c r="C15" s="1112"/>
      <c r="D15" s="1112"/>
      <c r="E15" s="1112"/>
      <c r="F15" s="1112"/>
      <c r="G15" s="1112"/>
      <c r="H15" s="1112"/>
      <c r="I15" s="1112"/>
      <c r="J15" s="1112"/>
      <c r="K15" s="1112"/>
      <c r="L15" s="1112"/>
      <c r="M15" s="1112"/>
      <c r="N15" s="1112"/>
      <c r="O15" s="1112"/>
      <c r="P15" s="1112"/>
      <c r="Q15" s="1112"/>
      <c r="R15" s="1112"/>
      <c r="S15" s="1112"/>
      <c r="T15" s="1112"/>
      <c r="U15" s="1112"/>
      <c r="V15" s="1112"/>
      <c r="W15" s="1113"/>
      <c r="X15" s="1113"/>
      <c r="Y15" s="1113"/>
      <c r="Z15" s="1113"/>
      <c r="AA15" s="1113"/>
      <c r="AB15" s="1113"/>
      <c r="AC15" s="1114"/>
      <c r="AD15" s="1114"/>
      <c r="AE15" s="1114"/>
      <c r="AF15" s="1114"/>
      <c r="AG15" s="1114"/>
      <c r="AH15" s="1114"/>
      <c r="AI15" s="1114"/>
      <c r="AJ15" s="1114"/>
      <c r="AK15" s="1114"/>
      <c r="AL15" s="1114"/>
      <c r="AM15" s="1114"/>
      <c r="AN15" s="1114"/>
      <c r="AO15" s="1114"/>
      <c r="AP15" s="1114"/>
      <c r="AQ15" s="1114"/>
      <c r="AR15" s="1114"/>
      <c r="AS15" s="1114"/>
      <c r="AT15" s="1114"/>
      <c r="AU15" s="1114"/>
      <c r="AV15" s="1114"/>
      <c r="AW15" s="1114"/>
      <c r="AX15" s="1114"/>
      <c r="AY15" s="1115"/>
      <c r="AZ15" s="1116"/>
      <c r="BA15" s="1116"/>
      <c r="BB15" s="1116"/>
      <c r="BC15" s="1116"/>
      <c r="BD15" s="1116"/>
      <c r="BE15" s="1116"/>
      <c r="BF15" s="1117"/>
    </row>
    <row r="16" spans="1:58" ht="12" customHeight="1" x14ac:dyDescent="0.2">
      <c r="A16" s="1118"/>
      <c r="B16" s="1119"/>
      <c r="C16" s="1119"/>
      <c r="D16" s="1119"/>
      <c r="E16" s="1119"/>
      <c r="F16" s="1119"/>
      <c r="G16" s="1119"/>
      <c r="H16" s="1119"/>
      <c r="I16" s="1119"/>
      <c r="J16" s="1119"/>
      <c r="K16" s="1119"/>
      <c r="L16" s="1119"/>
      <c r="M16" s="1119"/>
      <c r="N16" s="1119"/>
      <c r="O16" s="1119"/>
      <c r="P16" s="1119"/>
      <c r="Q16" s="1119"/>
      <c r="R16" s="1119"/>
      <c r="S16" s="1119"/>
      <c r="T16" s="1119"/>
      <c r="U16" s="1119"/>
      <c r="V16" s="1119"/>
      <c r="W16" s="1120"/>
      <c r="X16" s="1120"/>
      <c r="Y16" s="1120"/>
      <c r="Z16" s="1120"/>
      <c r="AA16" s="1120"/>
      <c r="AB16" s="1120"/>
      <c r="AC16" s="1121"/>
      <c r="AD16" s="1121"/>
      <c r="AE16" s="1121"/>
      <c r="AF16" s="1121"/>
      <c r="AG16" s="1121"/>
      <c r="AH16" s="1121"/>
      <c r="AI16" s="1121"/>
      <c r="AJ16" s="1121"/>
      <c r="AK16" s="1121"/>
      <c r="AL16" s="1121"/>
      <c r="AM16" s="1121"/>
      <c r="AN16" s="1121"/>
      <c r="AO16" s="1121"/>
      <c r="AP16" s="1121"/>
      <c r="AQ16" s="1121"/>
      <c r="AR16" s="1121"/>
      <c r="AS16" s="1121"/>
      <c r="AT16" s="1121"/>
      <c r="AU16" s="1121"/>
      <c r="AV16" s="1121"/>
      <c r="AW16" s="1121"/>
      <c r="AX16" s="1121"/>
      <c r="AY16" s="1122"/>
      <c r="AZ16" s="1123"/>
      <c r="BA16" s="1123"/>
      <c r="BB16" s="1123"/>
      <c r="BC16" s="1123"/>
      <c r="BD16" s="1123"/>
      <c r="BE16" s="1123"/>
      <c r="BF16" s="1124"/>
    </row>
    <row r="17" spans="1:58" ht="12" customHeight="1" x14ac:dyDescent="0.2">
      <c r="A17" s="1111"/>
      <c r="B17" s="1112"/>
      <c r="C17" s="1112"/>
      <c r="D17" s="1112"/>
      <c r="E17" s="1112"/>
      <c r="F17" s="1112"/>
      <c r="G17" s="1112"/>
      <c r="H17" s="1112"/>
      <c r="I17" s="1112"/>
      <c r="J17" s="1112"/>
      <c r="K17" s="1112"/>
      <c r="L17" s="1112"/>
      <c r="M17" s="1112"/>
      <c r="N17" s="1112"/>
      <c r="O17" s="1112"/>
      <c r="P17" s="1112"/>
      <c r="Q17" s="1112"/>
      <c r="R17" s="1112"/>
      <c r="S17" s="1112"/>
      <c r="T17" s="1112"/>
      <c r="U17" s="1112"/>
      <c r="V17" s="1112"/>
      <c r="W17" s="1113"/>
      <c r="X17" s="1113"/>
      <c r="Y17" s="1113"/>
      <c r="Z17" s="1113"/>
      <c r="AA17" s="1113"/>
      <c r="AB17" s="1113"/>
      <c r="AC17" s="1114"/>
      <c r="AD17" s="1114"/>
      <c r="AE17" s="1114"/>
      <c r="AF17" s="1114"/>
      <c r="AG17" s="1114"/>
      <c r="AH17" s="1114"/>
      <c r="AI17" s="1114"/>
      <c r="AJ17" s="1114"/>
      <c r="AK17" s="1114"/>
      <c r="AL17" s="1114"/>
      <c r="AM17" s="1114"/>
      <c r="AN17" s="1114"/>
      <c r="AO17" s="1114"/>
      <c r="AP17" s="1114"/>
      <c r="AQ17" s="1114"/>
      <c r="AR17" s="1114"/>
      <c r="AS17" s="1114"/>
      <c r="AT17" s="1114"/>
      <c r="AU17" s="1114"/>
      <c r="AV17" s="1114"/>
      <c r="AW17" s="1114"/>
      <c r="AX17" s="1114"/>
      <c r="AY17" s="1115"/>
      <c r="AZ17" s="1116"/>
      <c r="BA17" s="1116"/>
      <c r="BB17" s="1116"/>
      <c r="BC17" s="1116"/>
      <c r="BD17" s="1116"/>
      <c r="BE17" s="1116"/>
      <c r="BF17" s="1117"/>
    </row>
    <row r="18" spans="1:58" ht="12" customHeight="1" x14ac:dyDescent="0.2">
      <c r="A18" s="1118"/>
      <c r="B18" s="1119"/>
      <c r="C18" s="1119"/>
      <c r="D18" s="1119"/>
      <c r="E18" s="1119"/>
      <c r="F18" s="1119"/>
      <c r="G18" s="1119"/>
      <c r="H18" s="1119"/>
      <c r="I18" s="1119"/>
      <c r="J18" s="1119"/>
      <c r="K18" s="1119"/>
      <c r="L18" s="1119"/>
      <c r="M18" s="1119"/>
      <c r="N18" s="1119"/>
      <c r="O18" s="1119"/>
      <c r="P18" s="1119"/>
      <c r="Q18" s="1119"/>
      <c r="R18" s="1119"/>
      <c r="S18" s="1119"/>
      <c r="T18" s="1119"/>
      <c r="U18" s="1119"/>
      <c r="V18" s="1119"/>
      <c r="W18" s="1120"/>
      <c r="X18" s="1120"/>
      <c r="Y18" s="1120"/>
      <c r="Z18" s="1120"/>
      <c r="AA18" s="1120"/>
      <c r="AB18" s="1120"/>
      <c r="AC18" s="1121"/>
      <c r="AD18" s="1121"/>
      <c r="AE18" s="1121"/>
      <c r="AF18" s="1121"/>
      <c r="AG18" s="1121"/>
      <c r="AH18" s="1121"/>
      <c r="AI18" s="1121"/>
      <c r="AJ18" s="1121"/>
      <c r="AK18" s="1121"/>
      <c r="AL18" s="1121"/>
      <c r="AM18" s="1121"/>
      <c r="AN18" s="1121"/>
      <c r="AO18" s="1121"/>
      <c r="AP18" s="1121"/>
      <c r="AQ18" s="1121"/>
      <c r="AR18" s="1121"/>
      <c r="AS18" s="1121"/>
      <c r="AT18" s="1121"/>
      <c r="AU18" s="1121"/>
      <c r="AV18" s="1121"/>
      <c r="AW18" s="1121"/>
      <c r="AX18" s="1121"/>
      <c r="AY18" s="1122"/>
      <c r="AZ18" s="1123"/>
      <c r="BA18" s="1123"/>
      <c r="BB18" s="1123"/>
      <c r="BC18" s="1123"/>
      <c r="BD18" s="1123"/>
      <c r="BE18" s="1123"/>
      <c r="BF18" s="1124"/>
    </row>
    <row r="19" spans="1:58" ht="12" customHeight="1" x14ac:dyDescent="0.2">
      <c r="A19" s="1111"/>
      <c r="B19" s="1112"/>
      <c r="C19" s="1112"/>
      <c r="D19" s="1112"/>
      <c r="E19" s="1112"/>
      <c r="F19" s="1112"/>
      <c r="G19" s="1112"/>
      <c r="H19" s="1112"/>
      <c r="I19" s="1112"/>
      <c r="J19" s="1112"/>
      <c r="K19" s="1112"/>
      <c r="L19" s="1112"/>
      <c r="M19" s="1112"/>
      <c r="N19" s="1112"/>
      <c r="O19" s="1112"/>
      <c r="P19" s="1112"/>
      <c r="Q19" s="1112"/>
      <c r="R19" s="1112"/>
      <c r="S19" s="1112"/>
      <c r="T19" s="1112"/>
      <c r="U19" s="1112"/>
      <c r="V19" s="1112"/>
      <c r="W19" s="1113"/>
      <c r="X19" s="1113"/>
      <c r="Y19" s="1113"/>
      <c r="Z19" s="1113"/>
      <c r="AA19" s="1113"/>
      <c r="AB19" s="1113"/>
      <c r="AC19" s="1114"/>
      <c r="AD19" s="1114"/>
      <c r="AE19" s="1114"/>
      <c r="AF19" s="1114"/>
      <c r="AG19" s="1114"/>
      <c r="AH19" s="1114"/>
      <c r="AI19" s="1114"/>
      <c r="AJ19" s="1114"/>
      <c r="AK19" s="1114"/>
      <c r="AL19" s="1114"/>
      <c r="AM19" s="1114"/>
      <c r="AN19" s="1114"/>
      <c r="AO19" s="1114"/>
      <c r="AP19" s="1114"/>
      <c r="AQ19" s="1114"/>
      <c r="AR19" s="1114"/>
      <c r="AS19" s="1114"/>
      <c r="AT19" s="1114"/>
      <c r="AU19" s="1114"/>
      <c r="AV19" s="1114"/>
      <c r="AW19" s="1114"/>
      <c r="AX19" s="1114"/>
      <c r="AY19" s="1115"/>
      <c r="AZ19" s="1116"/>
      <c r="BA19" s="1116"/>
      <c r="BB19" s="1116"/>
      <c r="BC19" s="1116"/>
      <c r="BD19" s="1116"/>
      <c r="BE19" s="1116"/>
      <c r="BF19" s="1117"/>
    </row>
    <row r="20" spans="1:58" ht="12" customHeight="1" x14ac:dyDescent="0.2">
      <c r="A20" s="1118"/>
      <c r="B20" s="1119"/>
      <c r="C20" s="1119"/>
      <c r="D20" s="1119"/>
      <c r="E20" s="1119"/>
      <c r="F20" s="1119"/>
      <c r="G20" s="1119"/>
      <c r="H20" s="1119"/>
      <c r="I20" s="1119"/>
      <c r="J20" s="1119"/>
      <c r="K20" s="1119"/>
      <c r="L20" s="1119"/>
      <c r="M20" s="1119"/>
      <c r="N20" s="1119"/>
      <c r="O20" s="1119"/>
      <c r="P20" s="1119"/>
      <c r="Q20" s="1119"/>
      <c r="R20" s="1119"/>
      <c r="S20" s="1119"/>
      <c r="T20" s="1119"/>
      <c r="U20" s="1119"/>
      <c r="V20" s="1119"/>
      <c r="W20" s="1120"/>
      <c r="X20" s="1120"/>
      <c r="Y20" s="1120"/>
      <c r="Z20" s="1120"/>
      <c r="AA20" s="1120"/>
      <c r="AB20" s="1120"/>
      <c r="AC20" s="1121"/>
      <c r="AD20" s="1121"/>
      <c r="AE20" s="1121"/>
      <c r="AF20" s="1121"/>
      <c r="AG20" s="1121"/>
      <c r="AH20" s="1121"/>
      <c r="AI20" s="1121"/>
      <c r="AJ20" s="1121"/>
      <c r="AK20" s="1121"/>
      <c r="AL20" s="1121"/>
      <c r="AM20" s="1121"/>
      <c r="AN20" s="1121"/>
      <c r="AO20" s="1121"/>
      <c r="AP20" s="1121"/>
      <c r="AQ20" s="1121"/>
      <c r="AR20" s="1121"/>
      <c r="AS20" s="1121"/>
      <c r="AT20" s="1121"/>
      <c r="AU20" s="1121"/>
      <c r="AV20" s="1121"/>
      <c r="AW20" s="1121"/>
      <c r="AX20" s="1121"/>
      <c r="AY20" s="1122"/>
      <c r="AZ20" s="1123"/>
      <c r="BA20" s="1123"/>
      <c r="BB20" s="1123"/>
      <c r="BC20" s="1123"/>
      <c r="BD20" s="1123"/>
      <c r="BE20" s="1123"/>
      <c r="BF20" s="1124"/>
    </row>
    <row r="21" spans="1:58" ht="12" customHeight="1" x14ac:dyDescent="0.2">
      <c r="A21" s="1111"/>
      <c r="B21" s="1112"/>
      <c r="C21" s="1112"/>
      <c r="D21" s="1112"/>
      <c r="E21" s="1112"/>
      <c r="F21" s="1112"/>
      <c r="G21" s="1112"/>
      <c r="H21" s="1112"/>
      <c r="I21" s="1112"/>
      <c r="J21" s="1112"/>
      <c r="K21" s="1112"/>
      <c r="L21" s="1112"/>
      <c r="M21" s="1112"/>
      <c r="N21" s="1112"/>
      <c r="O21" s="1112"/>
      <c r="P21" s="1112"/>
      <c r="Q21" s="1112"/>
      <c r="R21" s="1112"/>
      <c r="S21" s="1112"/>
      <c r="T21" s="1112"/>
      <c r="U21" s="1112"/>
      <c r="V21" s="1112"/>
      <c r="W21" s="1113"/>
      <c r="X21" s="1113"/>
      <c r="Y21" s="1113"/>
      <c r="Z21" s="1113"/>
      <c r="AA21" s="1113"/>
      <c r="AB21" s="1113"/>
      <c r="AC21" s="1114"/>
      <c r="AD21" s="1114"/>
      <c r="AE21" s="1114"/>
      <c r="AF21" s="1114"/>
      <c r="AG21" s="1114"/>
      <c r="AH21" s="1114"/>
      <c r="AI21" s="1114"/>
      <c r="AJ21" s="1114"/>
      <c r="AK21" s="1114"/>
      <c r="AL21" s="1114"/>
      <c r="AM21" s="1114"/>
      <c r="AN21" s="1114"/>
      <c r="AO21" s="1114"/>
      <c r="AP21" s="1114"/>
      <c r="AQ21" s="1114"/>
      <c r="AR21" s="1114"/>
      <c r="AS21" s="1114"/>
      <c r="AT21" s="1114"/>
      <c r="AU21" s="1114"/>
      <c r="AV21" s="1114"/>
      <c r="AW21" s="1114"/>
      <c r="AX21" s="1114"/>
      <c r="AY21" s="1115"/>
      <c r="AZ21" s="1116"/>
      <c r="BA21" s="1116"/>
      <c r="BB21" s="1116"/>
      <c r="BC21" s="1116"/>
      <c r="BD21" s="1116"/>
      <c r="BE21" s="1116"/>
      <c r="BF21" s="1117"/>
    </row>
    <row r="22" spans="1:58" ht="12" customHeight="1" x14ac:dyDescent="0.2">
      <c r="A22" s="1118"/>
      <c r="B22" s="1119"/>
      <c r="C22" s="1119"/>
      <c r="D22" s="1119"/>
      <c r="E22" s="1119"/>
      <c r="F22" s="1119"/>
      <c r="G22" s="1119"/>
      <c r="H22" s="1119"/>
      <c r="I22" s="1119"/>
      <c r="J22" s="1119"/>
      <c r="K22" s="1119"/>
      <c r="L22" s="1119"/>
      <c r="M22" s="1119"/>
      <c r="N22" s="1119"/>
      <c r="O22" s="1119"/>
      <c r="P22" s="1119"/>
      <c r="Q22" s="1119"/>
      <c r="R22" s="1119"/>
      <c r="S22" s="1119"/>
      <c r="T22" s="1119"/>
      <c r="U22" s="1119"/>
      <c r="V22" s="1119"/>
      <c r="W22" s="1120"/>
      <c r="X22" s="1120"/>
      <c r="Y22" s="1120"/>
      <c r="Z22" s="1120"/>
      <c r="AA22" s="1120"/>
      <c r="AB22" s="1120"/>
      <c r="AC22" s="1121"/>
      <c r="AD22" s="1121"/>
      <c r="AE22" s="1121"/>
      <c r="AF22" s="1121"/>
      <c r="AG22" s="1121"/>
      <c r="AH22" s="1121"/>
      <c r="AI22" s="1121"/>
      <c r="AJ22" s="1121"/>
      <c r="AK22" s="1121"/>
      <c r="AL22" s="1121"/>
      <c r="AM22" s="1121"/>
      <c r="AN22" s="1121"/>
      <c r="AO22" s="1121"/>
      <c r="AP22" s="1121"/>
      <c r="AQ22" s="1121"/>
      <c r="AR22" s="1121"/>
      <c r="AS22" s="1121"/>
      <c r="AT22" s="1121"/>
      <c r="AU22" s="1121"/>
      <c r="AV22" s="1121"/>
      <c r="AW22" s="1121"/>
      <c r="AX22" s="1121"/>
      <c r="AY22" s="1122"/>
      <c r="AZ22" s="1123"/>
      <c r="BA22" s="1123"/>
      <c r="BB22" s="1123"/>
      <c r="BC22" s="1123"/>
      <c r="BD22" s="1123"/>
      <c r="BE22" s="1123"/>
      <c r="BF22" s="1124"/>
    </row>
    <row r="23" spans="1:58" ht="12" customHeight="1" x14ac:dyDescent="0.2">
      <c r="A23" s="1111"/>
      <c r="B23" s="1112"/>
      <c r="C23" s="1112"/>
      <c r="D23" s="1112"/>
      <c r="E23" s="1112"/>
      <c r="F23" s="1112"/>
      <c r="G23" s="1112"/>
      <c r="H23" s="1112"/>
      <c r="I23" s="1112"/>
      <c r="J23" s="1112"/>
      <c r="K23" s="1112"/>
      <c r="L23" s="1112"/>
      <c r="M23" s="1112"/>
      <c r="N23" s="1112"/>
      <c r="O23" s="1112"/>
      <c r="P23" s="1112"/>
      <c r="Q23" s="1112"/>
      <c r="R23" s="1112"/>
      <c r="S23" s="1112"/>
      <c r="T23" s="1112"/>
      <c r="U23" s="1112"/>
      <c r="V23" s="1112"/>
      <c r="W23" s="1113"/>
      <c r="X23" s="1113"/>
      <c r="Y23" s="1113"/>
      <c r="Z23" s="1113"/>
      <c r="AA23" s="1113"/>
      <c r="AB23" s="1113"/>
      <c r="AC23" s="1114"/>
      <c r="AD23" s="1114"/>
      <c r="AE23" s="1114"/>
      <c r="AF23" s="1114"/>
      <c r="AG23" s="1114"/>
      <c r="AH23" s="1114"/>
      <c r="AI23" s="1114"/>
      <c r="AJ23" s="1114"/>
      <c r="AK23" s="1114"/>
      <c r="AL23" s="1114"/>
      <c r="AM23" s="1114"/>
      <c r="AN23" s="1114"/>
      <c r="AO23" s="1114"/>
      <c r="AP23" s="1114"/>
      <c r="AQ23" s="1114"/>
      <c r="AR23" s="1114"/>
      <c r="AS23" s="1114"/>
      <c r="AT23" s="1114"/>
      <c r="AU23" s="1114"/>
      <c r="AV23" s="1114"/>
      <c r="AW23" s="1114"/>
      <c r="AX23" s="1114"/>
      <c r="AY23" s="1115"/>
      <c r="AZ23" s="1116"/>
      <c r="BA23" s="1116"/>
      <c r="BB23" s="1116"/>
      <c r="BC23" s="1116"/>
      <c r="BD23" s="1116"/>
      <c r="BE23" s="1116"/>
      <c r="BF23" s="1117"/>
    </row>
    <row r="24" spans="1:58" ht="12" customHeight="1" x14ac:dyDescent="0.2">
      <c r="A24" s="1118"/>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20"/>
      <c r="X24" s="1120"/>
      <c r="Y24" s="1120"/>
      <c r="Z24" s="1120"/>
      <c r="AA24" s="1120"/>
      <c r="AB24" s="1120"/>
      <c r="AC24" s="1121"/>
      <c r="AD24" s="1121"/>
      <c r="AE24" s="1121"/>
      <c r="AF24" s="1121"/>
      <c r="AG24" s="1121"/>
      <c r="AH24" s="1121"/>
      <c r="AI24" s="1121"/>
      <c r="AJ24" s="1121"/>
      <c r="AK24" s="1121"/>
      <c r="AL24" s="1121"/>
      <c r="AM24" s="1121"/>
      <c r="AN24" s="1121"/>
      <c r="AO24" s="1121"/>
      <c r="AP24" s="1121"/>
      <c r="AQ24" s="1121"/>
      <c r="AR24" s="1121"/>
      <c r="AS24" s="1121"/>
      <c r="AT24" s="1121"/>
      <c r="AU24" s="1121"/>
      <c r="AV24" s="1121"/>
      <c r="AW24" s="1121"/>
      <c r="AX24" s="1121"/>
      <c r="AY24" s="1122"/>
      <c r="AZ24" s="1123"/>
      <c r="BA24" s="1123"/>
      <c r="BB24" s="1123"/>
      <c r="BC24" s="1123"/>
      <c r="BD24" s="1123"/>
      <c r="BE24" s="1123"/>
      <c r="BF24" s="1124"/>
    </row>
    <row r="25" spans="1:58" ht="12" customHeight="1" x14ac:dyDescent="0.2">
      <c r="A25" s="1111"/>
      <c r="B25" s="1112"/>
      <c r="C25" s="1112"/>
      <c r="D25" s="1112"/>
      <c r="E25" s="1112"/>
      <c r="F25" s="1112"/>
      <c r="G25" s="1112"/>
      <c r="H25" s="1112"/>
      <c r="I25" s="1112"/>
      <c r="J25" s="1112"/>
      <c r="K25" s="1112"/>
      <c r="L25" s="1112"/>
      <c r="M25" s="1112"/>
      <c r="N25" s="1112"/>
      <c r="O25" s="1112"/>
      <c r="P25" s="1112"/>
      <c r="Q25" s="1112"/>
      <c r="R25" s="1112"/>
      <c r="S25" s="1112"/>
      <c r="T25" s="1112"/>
      <c r="U25" s="1112"/>
      <c r="V25" s="1112"/>
      <c r="W25" s="1113"/>
      <c r="X25" s="1113"/>
      <c r="Y25" s="1113"/>
      <c r="Z25" s="1113"/>
      <c r="AA25" s="1113"/>
      <c r="AB25" s="1113"/>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5"/>
      <c r="AZ25" s="1116"/>
      <c r="BA25" s="1116"/>
      <c r="BB25" s="1116"/>
      <c r="BC25" s="1116"/>
      <c r="BD25" s="1116"/>
      <c r="BE25" s="1116"/>
      <c r="BF25" s="1117"/>
    </row>
    <row r="26" spans="1:58" ht="12" customHeight="1" x14ac:dyDescent="0.2">
      <c r="A26" s="1118"/>
      <c r="B26" s="1119"/>
      <c r="C26" s="1119"/>
      <c r="D26" s="1119"/>
      <c r="E26" s="1119"/>
      <c r="F26" s="1119"/>
      <c r="G26" s="1119"/>
      <c r="H26" s="1119"/>
      <c r="I26" s="1119"/>
      <c r="J26" s="1119"/>
      <c r="K26" s="1119"/>
      <c r="L26" s="1119"/>
      <c r="M26" s="1119"/>
      <c r="N26" s="1119"/>
      <c r="O26" s="1119"/>
      <c r="P26" s="1119"/>
      <c r="Q26" s="1119"/>
      <c r="R26" s="1119"/>
      <c r="S26" s="1119"/>
      <c r="T26" s="1119"/>
      <c r="U26" s="1119"/>
      <c r="V26" s="1119"/>
      <c r="W26" s="1120"/>
      <c r="X26" s="1120"/>
      <c r="Y26" s="1120"/>
      <c r="Z26" s="1120"/>
      <c r="AA26" s="1120"/>
      <c r="AB26" s="1120"/>
      <c r="AC26" s="1121"/>
      <c r="AD26" s="1121"/>
      <c r="AE26" s="1121"/>
      <c r="AF26" s="1121"/>
      <c r="AG26" s="1121"/>
      <c r="AH26" s="1121"/>
      <c r="AI26" s="1121"/>
      <c r="AJ26" s="1121"/>
      <c r="AK26" s="1121"/>
      <c r="AL26" s="1121"/>
      <c r="AM26" s="1121"/>
      <c r="AN26" s="1121"/>
      <c r="AO26" s="1121"/>
      <c r="AP26" s="1121"/>
      <c r="AQ26" s="1121"/>
      <c r="AR26" s="1121"/>
      <c r="AS26" s="1121"/>
      <c r="AT26" s="1121"/>
      <c r="AU26" s="1121"/>
      <c r="AV26" s="1121"/>
      <c r="AW26" s="1121"/>
      <c r="AX26" s="1121"/>
      <c r="AY26" s="1122"/>
      <c r="AZ26" s="1123"/>
      <c r="BA26" s="1123"/>
      <c r="BB26" s="1123"/>
      <c r="BC26" s="1123"/>
      <c r="BD26" s="1123"/>
      <c r="BE26" s="1123"/>
      <c r="BF26" s="1124"/>
    </row>
    <row r="27" spans="1:58" ht="12" customHeight="1" x14ac:dyDescent="0.2">
      <c r="A27" s="1111"/>
      <c r="B27" s="1112"/>
      <c r="C27" s="1112"/>
      <c r="D27" s="1112"/>
      <c r="E27" s="1112"/>
      <c r="F27" s="1112"/>
      <c r="G27" s="1112"/>
      <c r="H27" s="1112"/>
      <c r="I27" s="1112"/>
      <c r="J27" s="1112"/>
      <c r="K27" s="1112"/>
      <c r="L27" s="1112"/>
      <c r="M27" s="1112"/>
      <c r="N27" s="1112"/>
      <c r="O27" s="1112"/>
      <c r="P27" s="1112"/>
      <c r="Q27" s="1112"/>
      <c r="R27" s="1112"/>
      <c r="S27" s="1112"/>
      <c r="T27" s="1112"/>
      <c r="U27" s="1112"/>
      <c r="V27" s="1112"/>
      <c r="W27" s="1113"/>
      <c r="X27" s="1113"/>
      <c r="Y27" s="1113"/>
      <c r="Z27" s="1113"/>
      <c r="AA27" s="1113"/>
      <c r="AB27" s="1113"/>
      <c r="AC27" s="1114"/>
      <c r="AD27" s="1114"/>
      <c r="AE27" s="1114"/>
      <c r="AF27" s="1114"/>
      <c r="AG27" s="1114"/>
      <c r="AH27" s="1114"/>
      <c r="AI27" s="1114"/>
      <c r="AJ27" s="1114"/>
      <c r="AK27" s="1114"/>
      <c r="AL27" s="1114"/>
      <c r="AM27" s="1114"/>
      <c r="AN27" s="1114"/>
      <c r="AO27" s="1114"/>
      <c r="AP27" s="1114"/>
      <c r="AQ27" s="1114"/>
      <c r="AR27" s="1114"/>
      <c r="AS27" s="1114"/>
      <c r="AT27" s="1114"/>
      <c r="AU27" s="1114"/>
      <c r="AV27" s="1114"/>
      <c r="AW27" s="1114"/>
      <c r="AX27" s="1114"/>
      <c r="AY27" s="1115"/>
      <c r="AZ27" s="1116"/>
      <c r="BA27" s="1116"/>
      <c r="BB27" s="1116"/>
      <c r="BC27" s="1116"/>
      <c r="BD27" s="1116"/>
      <c r="BE27" s="1116"/>
      <c r="BF27" s="1117"/>
    </row>
    <row r="28" spans="1:58" ht="12" customHeight="1" x14ac:dyDescent="0.2">
      <c r="A28" s="1118"/>
      <c r="B28" s="1119"/>
      <c r="C28" s="1119"/>
      <c r="D28" s="1119"/>
      <c r="E28" s="1119"/>
      <c r="F28" s="1119"/>
      <c r="G28" s="1119"/>
      <c r="H28" s="1119"/>
      <c r="I28" s="1119"/>
      <c r="J28" s="1119"/>
      <c r="K28" s="1119"/>
      <c r="L28" s="1119"/>
      <c r="M28" s="1119"/>
      <c r="N28" s="1119"/>
      <c r="O28" s="1119"/>
      <c r="P28" s="1119"/>
      <c r="Q28" s="1119"/>
      <c r="R28" s="1119"/>
      <c r="S28" s="1119"/>
      <c r="T28" s="1119"/>
      <c r="U28" s="1119"/>
      <c r="V28" s="1119"/>
      <c r="W28" s="1120"/>
      <c r="X28" s="1120"/>
      <c r="Y28" s="1120"/>
      <c r="Z28" s="1120"/>
      <c r="AA28" s="1120"/>
      <c r="AB28" s="1120"/>
      <c r="AC28" s="1121"/>
      <c r="AD28" s="1121"/>
      <c r="AE28" s="1121"/>
      <c r="AF28" s="1121"/>
      <c r="AG28" s="1121"/>
      <c r="AH28" s="1121"/>
      <c r="AI28" s="1121"/>
      <c r="AJ28" s="1121"/>
      <c r="AK28" s="1121"/>
      <c r="AL28" s="1121"/>
      <c r="AM28" s="1121"/>
      <c r="AN28" s="1121"/>
      <c r="AO28" s="1121"/>
      <c r="AP28" s="1121"/>
      <c r="AQ28" s="1121"/>
      <c r="AR28" s="1121"/>
      <c r="AS28" s="1121"/>
      <c r="AT28" s="1121"/>
      <c r="AU28" s="1121"/>
      <c r="AV28" s="1121"/>
      <c r="AW28" s="1121"/>
      <c r="AX28" s="1121"/>
      <c r="AY28" s="1122"/>
      <c r="AZ28" s="1123"/>
      <c r="BA28" s="1123"/>
      <c r="BB28" s="1123"/>
      <c r="BC28" s="1123"/>
      <c r="BD28" s="1123"/>
      <c r="BE28" s="1123"/>
      <c r="BF28" s="1124"/>
    </row>
    <row r="29" spans="1:58" ht="12" customHeight="1" x14ac:dyDescent="0.2">
      <c r="A29" s="1111"/>
      <c r="B29" s="1112"/>
      <c r="C29" s="1112"/>
      <c r="D29" s="1112"/>
      <c r="E29" s="1112"/>
      <c r="F29" s="1112"/>
      <c r="G29" s="1112"/>
      <c r="H29" s="1112"/>
      <c r="I29" s="1112"/>
      <c r="J29" s="1112"/>
      <c r="K29" s="1112"/>
      <c r="L29" s="1112"/>
      <c r="M29" s="1112"/>
      <c r="N29" s="1112"/>
      <c r="O29" s="1112"/>
      <c r="P29" s="1112"/>
      <c r="Q29" s="1112"/>
      <c r="R29" s="1112"/>
      <c r="S29" s="1112"/>
      <c r="T29" s="1112"/>
      <c r="U29" s="1112"/>
      <c r="V29" s="1112"/>
      <c r="W29" s="1113"/>
      <c r="X29" s="1113"/>
      <c r="Y29" s="1113"/>
      <c r="Z29" s="1113"/>
      <c r="AA29" s="1113"/>
      <c r="AB29" s="1113"/>
      <c r="AC29" s="1114"/>
      <c r="AD29" s="1114"/>
      <c r="AE29" s="1114"/>
      <c r="AF29" s="1114"/>
      <c r="AG29" s="1114"/>
      <c r="AH29" s="1114"/>
      <c r="AI29" s="1114"/>
      <c r="AJ29" s="1114"/>
      <c r="AK29" s="1114"/>
      <c r="AL29" s="1114"/>
      <c r="AM29" s="1114"/>
      <c r="AN29" s="1114"/>
      <c r="AO29" s="1114"/>
      <c r="AP29" s="1114"/>
      <c r="AQ29" s="1114"/>
      <c r="AR29" s="1114"/>
      <c r="AS29" s="1114"/>
      <c r="AT29" s="1114"/>
      <c r="AU29" s="1114"/>
      <c r="AV29" s="1114"/>
      <c r="AW29" s="1114"/>
      <c r="AX29" s="1114"/>
      <c r="AY29" s="1115"/>
      <c r="AZ29" s="1116"/>
      <c r="BA29" s="1116"/>
      <c r="BB29" s="1116"/>
      <c r="BC29" s="1116"/>
      <c r="BD29" s="1116"/>
      <c r="BE29" s="1116"/>
      <c r="BF29" s="1117"/>
    </row>
    <row r="30" spans="1:58" ht="12" customHeight="1" x14ac:dyDescent="0.2">
      <c r="A30" s="1118"/>
      <c r="B30" s="1119"/>
      <c r="C30" s="1119"/>
      <c r="D30" s="1119"/>
      <c r="E30" s="1119"/>
      <c r="F30" s="1119"/>
      <c r="G30" s="1119"/>
      <c r="H30" s="1119"/>
      <c r="I30" s="1119"/>
      <c r="J30" s="1119"/>
      <c r="K30" s="1119"/>
      <c r="L30" s="1119"/>
      <c r="M30" s="1119"/>
      <c r="N30" s="1119"/>
      <c r="O30" s="1119"/>
      <c r="P30" s="1119"/>
      <c r="Q30" s="1119"/>
      <c r="R30" s="1119"/>
      <c r="S30" s="1119"/>
      <c r="T30" s="1119"/>
      <c r="U30" s="1119"/>
      <c r="V30" s="1119"/>
      <c r="W30" s="1120"/>
      <c r="X30" s="1120"/>
      <c r="Y30" s="1120"/>
      <c r="Z30" s="1120"/>
      <c r="AA30" s="1120"/>
      <c r="AB30" s="1120"/>
      <c r="AC30" s="1121"/>
      <c r="AD30" s="1121"/>
      <c r="AE30" s="1121"/>
      <c r="AF30" s="1121"/>
      <c r="AG30" s="1121"/>
      <c r="AH30" s="1121"/>
      <c r="AI30" s="1121"/>
      <c r="AJ30" s="1121"/>
      <c r="AK30" s="1121"/>
      <c r="AL30" s="1121"/>
      <c r="AM30" s="1121"/>
      <c r="AN30" s="1121"/>
      <c r="AO30" s="1121"/>
      <c r="AP30" s="1121"/>
      <c r="AQ30" s="1121"/>
      <c r="AR30" s="1121"/>
      <c r="AS30" s="1121"/>
      <c r="AT30" s="1121"/>
      <c r="AU30" s="1121"/>
      <c r="AV30" s="1121"/>
      <c r="AW30" s="1121"/>
      <c r="AX30" s="1121"/>
      <c r="AY30" s="1122"/>
      <c r="AZ30" s="1123"/>
      <c r="BA30" s="1123"/>
      <c r="BB30" s="1123"/>
      <c r="BC30" s="1123"/>
      <c r="BD30" s="1123"/>
      <c r="BE30" s="1123"/>
      <c r="BF30" s="1124"/>
    </row>
    <row r="31" spans="1:58" ht="12" customHeight="1" x14ac:dyDescent="0.2">
      <c r="A31" s="1111"/>
      <c r="B31" s="1112"/>
      <c r="C31" s="1112"/>
      <c r="D31" s="1112"/>
      <c r="E31" s="1112"/>
      <c r="F31" s="1112"/>
      <c r="G31" s="1112"/>
      <c r="H31" s="1112"/>
      <c r="I31" s="1112"/>
      <c r="J31" s="1112"/>
      <c r="K31" s="1112"/>
      <c r="L31" s="1112"/>
      <c r="M31" s="1112"/>
      <c r="N31" s="1112"/>
      <c r="O31" s="1112"/>
      <c r="P31" s="1112"/>
      <c r="Q31" s="1112"/>
      <c r="R31" s="1112"/>
      <c r="S31" s="1112"/>
      <c r="T31" s="1112"/>
      <c r="U31" s="1112"/>
      <c r="V31" s="1112"/>
      <c r="W31" s="1113"/>
      <c r="X31" s="1113"/>
      <c r="Y31" s="1113"/>
      <c r="Z31" s="1113"/>
      <c r="AA31" s="1113"/>
      <c r="AB31" s="1113"/>
      <c r="AC31" s="1114"/>
      <c r="AD31" s="1114"/>
      <c r="AE31" s="1114"/>
      <c r="AF31" s="1114"/>
      <c r="AG31" s="1114"/>
      <c r="AH31" s="1114"/>
      <c r="AI31" s="1114"/>
      <c r="AJ31" s="1114"/>
      <c r="AK31" s="1114"/>
      <c r="AL31" s="1114"/>
      <c r="AM31" s="1114"/>
      <c r="AN31" s="1114"/>
      <c r="AO31" s="1114"/>
      <c r="AP31" s="1114"/>
      <c r="AQ31" s="1114"/>
      <c r="AR31" s="1114"/>
      <c r="AS31" s="1114"/>
      <c r="AT31" s="1114"/>
      <c r="AU31" s="1114"/>
      <c r="AV31" s="1114"/>
      <c r="AW31" s="1114"/>
      <c r="AX31" s="1114"/>
      <c r="AY31" s="1115"/>
      <c r="AZ31" s="1116"/>
      <c r="BA31" s="1116"/>
      <c r="BB31" s="1116"/>
      <c r="BC31" s="1116"/>
      <c r="BD31" s="1116"/>
      <c r="BE31" s="1116"/>
      <c r="BF31" s="1117"/>
    </row>
    <row r="32" spans="1:58" ht="12" customHeight="1" x14ac:dyDescent="0.2">
      <c r="A32" s="1118"/>
      <c r="B32" s="1119"/>
      <c r="C32" s="1119"/>
      <c r="D32" s="1119"/>
      <c r="E32" s="1119"/>
      <c r="F32" s="1119"/>
      <c r="G32" s="1119"/>
      <c r="H32" s="1119"/>
      <c r="I32" s="1119"/>
      <c r="J32" s="1119"/>
      <c r="K32" s="1119"/>
      <c r="L32" s="1119"/>
      <c r="M32" s="1119"/>
      <c r="N32" s="1119"/>
      <c r="O32" s="1119"/>
      <c r="P32" s="1119"/>
      <c r="Q32" s="1119"/>
      <c r="R32" s="1119"/>
      <c r="S32" s="1119"/>
      <c r="T32" s="1119"/>
      <c r="U32" s="1119"/>
      <c r="V32" s="1119"/>
      <c r="W32" s="1120"/>
      <c r="X32" s="1120"/>
      <c r="Y32" s="1120"/>
      <c r="Z32" s="1120"/>
      <c r="AA32" s="1120"/>
      <c r="AB32" s="1120"/>
      <c r="AC32" s="1121"/>
      <c r="AD32" s="1121"/>
      <c r="AE32" s="1121"/>
      <c r="AF32" s="1121"/>
      <c r="AG32" s="1121"/>
      <c r="AH32" s="1121"/>
      <c r="AI32" s="1121"/>
      <c r="AJ32" s="1121"/>
      <c r="AK32" s="1121"/>
      <c r="AL32" s="1121"/>
      <c r="AM32" s="1121"/>
      <c r="AN32" s="1121"/>
      <c r="AO32" s="1121"/>
      <c r="AP32" s="1121"/>
      <c r="AQ32" s="1121"/>
      <c r="AR32" s="1121"/>
      <c r="AS32" s="1121"/>
      <c r="AT32" s="1121"/>
      <c r="AU32" s="1121"/>
      <c r="AV32" s="1121"/>
      <c r="AW32" s="1121"/>
      <c r="AX32" s="1121"/>
      <c r="AY32" s="1122"/>
      <c r="AZ32" s="1123"/>
      <c r="BA32" s="1123"/>
      <c r="BB32" s="1123"/>
      <c r="BC32" s="1123"/>
      <c r="BD32" s="1123"/>
      <c r="BE32" s="1123"/>
      <c r="BF32" s="1124"/>
    </row>
    <row r="33" spans="1:58" ht="12" customHeight="1" x14ac:dyDescent="0.2">
      <c r="A33" s="1111"/>
      <c r="B33" s="1112"/>
      <c r="C33" s="1112"/>
      <c r="D33" s="1112"/>
      <c r="E33" s="1112"/>
      <c r="F33" s="1112"/>
      <c r="G33" s="1112"/>
      <c r="H33" s="1112"/>
      <c r="I33" s="1112"/>
      <c r="J33" s="1112"/>
      <c r="K33" s="1112"/>
      <c r="L33" s="1112"/>
      <c r="M33" s="1112"/>
      <c r="N33" s="1112"/>
      <c r="O33" s="1112"/>
      <c r="P33" s="1112"/>
      <c r="Q33" s="1112"/>
      <c r="R33" s="1112"/>
      <c r="S33" s="1112"/>
      <c r="T33" s="1112"/>
      <c r="U33" s="1112"/>
      <c r="V33" s="1112"/>
      <c r="W33" s="1113"/>
      <c r="X33" s="1113"/>
      <c r="Y33" s="1113"/>
      <c r="Z33" s="1113"/>
      <c r="AA33" s="1113"/>
      <c r="AB33" s="1113"/>
      <c r="AC33" s="1114"/>
      <c r="AD33" s="1114"/>
      <c r="AE33" s="1114"/>
      <c r="AF33" s="1114"/>
      <c r="AG33" s="1114"/>
      <c r="AH33" s="1114"/>
      <c r="AI33" s="1114"/>
      <c r="AJ33" s="1114"/>
      <c r="AK33" s="1114"/>
      <c r="AL33" s="1114"/>
      <c r="AM33" s="1114"/>
      <c r="AN33" s="1114"/>
      <c r="AO33" s="1114"/>
      <c r="AP33" s="1114"/>
      <c r="AQ33" s="1114"/>
      <c r="AR33" s="1114"/>
      <c r="AS33" s="1114"/>
      <c r="AT33" s="1114"/>
      <c r="AU33" s="1114"/>
      <c r="AV33" s="1114"/>
      <c r="AW33" s="1114"/>
      <c r="AX33" s="1114"/>
      <c r="AY33" s="1115"/>
      <c r="AZ33" s="1116"/>
      <c r="BA33" s="1116"/>
      <c r="BB33" s="1116"/>
      <c r="BC33" s="1116"/>
      <c r="BD33" s="1116"/>
      <c r="BE33" s="1116"/>
      <c r="BF33" s="1117"/>
    </row>
    <row r="34" spans="1:58" ht="12" customHeight="1" x14ac:dyDescent="0.2">
      <c r="A34" s="1118"/>
      <c r="B34" s="1119"/>
      <c r="C34" s="1119"/>
      <c r="D34" s="1119"/>
      <c r="E34" s="1119"/>
      <c r="F34" s="1119"/>
      <c r="G34" s="1119"/>
      <c r="H34" s="1119"/>
      <c r="I34" s="1119"/>
      <c r="J34" s="1119"/>
      <c r="K34" s="1119"/>
      <c r="L34" s="1119"/>
      <c r="M34" s="1119"/>
      <c r="N34" s="1119"/>
      <c r="O34" s="1119"/>
      <c r="P34" s="1119"/>
      <c r="Q34" s="1119"/>
      <c r="R34" s="1119"/>
      <c r="S34" s="1119"/>
      <c r="T34" s="1119"/>
      <c r="U34" s="1119"/>
      <c r="V34" s="1119"/>
      <c r="W34" s="1120"/>
      <c r="X34" s="1120"/>
      <c r="Y34" s="1120"/>
      <c r="Z34" s="1120"/>
      <c r="AA34" s="1120"/>
      <c r="AB34" s="1120"/>
      <c r="AC34" s="1121"/>
      <c r="AD34" s="1121"/>
      <c r="AE34" s="1121"/>
      <c r="AF34" s="1121"/>
      <c r="AG34" s="1121"/>
      <c r="AH34" s="1121"/>
      <c r="AI34" s="1121"/>
      <c r="AJ34" s="1121"/>
      <c r="AK34" s="1121"/>
      <c r="AL34" s="1121"/>
      <c r="AM34" s="1121"/>
      <c r="AN34" s="1121"/>
      <c r="AO34" s="1121"/>
      <c r="AP34" s="1121"/>
      <c r="AQ34" s="1121"/>
      <c r="AR34" s="1121"/>
      <c r="AS34" s="1121"/>
      <c r="AT34" s="1121"/>
      <c r="AU34" s="1121"/>
      <c r="AV34" s="1121"/>
      <c r="AW34" s="1121"/>
      <c r="AX34" s="1121"/>
      <c r="AY34" s="1122"/>
      <c r="AZ34" s="1123"/>
      <c r="BA34" s="1123"/>
      <c r="BB34" s="1123"/>
      <c r="BC34" s="1123"/>
      <c r="BD34" s="1123"/>
      <c r="BE34" s="1123"/>
      <c r="BF34" s="1124"/>
    </row>
    <row r="35" spans="1:58" ht="12" customHeight="1" x14ac:dyDescent="0.2">
      <c r="A35" s="1111"/>
      <c r="B35" s="1112"/>
      <c r="C35" s="1112"/>
      <c r="D35" s="1112"/>
      <c r="E35" s="1112"/>
      <c r="F35" s="1112"/>
      <c r="G35" s="1112"/>
      <c r="H35" s="1112"/>
      <c r="I35" s="1112"/>
      <c r="J35" s="1112"/>
      <c r="K35" s="1112"/>
      <c r="L35" s="1112"/>
      <c r="M35" s="1112"/>
      <c r="N35" s="1112"/>
      <c r="O35" s="1112"/>
      <c r="P35" s="1112"/>
      <c r="Q35" s="1112"/>
      <c r="R35" s="1112"/>
      <c r="S35" s="1112"/>
      <c r="T35" s="1112"/>
      <c r="U35" s="1112"/>
      <c r="V35" s="1112"/>
      <c r="W35" s="1113"/>
      <c r="X35" s="1113"/>
      <c r="Y35" s="1113"/>
      <c r="Z35" s="1113"/>
      <c r="AA35" s="1113"/>
      <c r="AB35" s="1113"/>
      <c r="AC35" s="1114"/>
      <c r="AD35" s="1114"/>
      <c r="AE35" s="1114"/>
      <c r="AF35" s="1114"/>
      <c r="AG35" s="1114"/>
      <c r="AH35" s="1114"/>
      <c r="AI35" s="1114"/>
      <c r="AJ35" s="1114"/>
      <c r="AK35" s="1114"/>
      <c r="AL35" s="1114"/>
      <c r="AM35" s="1114"/>
      <c r="AN35" s="1114"/>
      <c r="AO35" s="1114"/>
      <c r="AP35" s="1114"/>
      <c r="AQ35" s="1114"/>
      <c r="AR35" s="1114"/>
      <c r="AS35" s="1114"/>
      <c r="AT35" s="1114"/>
      <c r="AU35" s="1114"/>
      <c r="AV35" s="1114"/>
      <c r="AW35" s="1114"/>
      <c r="AX35" s="1114"/>
      <c r="AY35" s="1115"/>
      <c r="AZ35" s="1116"/>
      <c r="BA35" s="1116"/>
      <c r="BB35" s="1116"/>
      <c r="BC35" s="1116"/>
      <c r="BD35" s="1116"/>
      <c r="BE35" s="1116"/>
      <c r="BF35" s="1117"/>
    </row>
    <row r="36" spans="1:58" ht="12" customHeight="1" x14ac:dyDescent="0.2">
      <c r="A36" s="1118"/>
      <c r="B36" s="1119"/>
      <c r="C36" s="1119"/>
      <c r="D36" s="1119"/>
      <c r="E36" s="1119"/>
      <c r="F36" s="1119"/>
      <c r="G36" s="1119"/>
      <c r="H36" s="1119"/>
      <c r="I36" s="1119"/>
      <c r="J36" s="1119"/>
      <c r="K36" s="1119"/>
      <c r="L36" s="1119"/>
      <c r="M36" s="1119"/>
      <c r="N36" s="1119"/>
      <c r="O36" s="1119"/>
      <c r="P36" s="1119"/>
      <c r="Q36" s="1119"/>
      <c r="R36" s="1119"/>
      <c r="S36" s="1119"/>
      <c r="T36" s="1119"/>
      <c r="U36" s="1119"/>
      <c r="V36" s="1119"/>
      <c r="W36" s="1120"/>
      <c r="X36" s="1120"/>
      <c r="Y36" s="1120"/>
      <c r="Z36" s="1120"/>
      <c r="AA36" s="1120"/>
      <c r="AB36" s="1120"/>
      <c r="AC36" s="1121"/>
      <c r="AD36" s="1121"/>
      <c r="AE36" s="1121"/>
      <c r="AF36" s="1121"/>
      <c r="AG36" s="1121"/>
      <c r="AH36" s="1121"/>
      <c r="AI36" s="1121"/>
      <c r="AJ36" s="1121"/>
      <c r="AK36" s="1121"/>
      <c r="AL36" s="1121"/>
      <c r="AM36" s="1121"/>
      <c r="AN36" s="1121"/>
      <c r="AO36" s="1121"/>
      <c r="AP36" s="1121"/>
      <c r="AQ36" s="1121"/>
      <c r="AR36" s="1121"/>
      <c r="AS36" s="1121"/>
      <c r="AT36" s="1121"/>
      <c r="AU36" s="1121"/>
      <c r="AV36" s="1121"/>
      <c r="AW36" s="1121"/>
      <c r="AX36" s="1121"/>
      <c r="AY36" s="1122"/>
      <c r="AZ36" s="1123"/>
      <c r="BA36" s="1123"/>
      <c r="BB36" s="1123"/>
      <c r="BC36" s="1123"/>
      <c r="BD36" s="1123"/>
      <c r="BE36" s="1123"/>
      <c r="BF36" s="1124"/>
    </row>
    <row r="37" spans="1:58" ht="12" customHeight="1" x14ac:dyDescent="0.2">
      <c r="A37" s="1111"/>
      <c r="B37" s="1112"/>
      <c r="C37" s="1112"/>
      <c r="D37" s="1112"/>
      <c r="E37" s="1112"/>
      <c r="F37" s="1112"/>
      <c r="G37" s="1112"/>
      <c r="H37" s="1112"/>
      <c r="I37" s="1112"/>
      <c r="J37" s="1112"/>
      <c r="K37" s="1112"/>
      <c r="L37" s="1112"/>
      <c r="M37" s="1112"/>
      <c r="N37" s="1112"/>
      <c r="O37" s="1112"/>
      <c r="P37" s="1112"/>
      <c r="Q37" s="1112"/>
      <c r="R37" s="1112"/>
      <c r="S37" s="1112"/>
      <c r="T37" s="1112"/>
      <c r="U37" s="1112"/>
      <c r="V37" s="1112"/>
      <c r="W37" s="1113"/>
      <c r="X37" s="1113"/>
      <c r="Y37" s="1113"/>
      <c r="Z37" s="1113"/>
      <c r="AA37" s="1113"/>
      <c r="AB37" s="1113"/>
      <c r="AC37" s="1114"/>
      <c r="AD37" s="1114"/>
      <c r="AE37" s="1114"/>
      <c r="AF37" s="1114"/>
      <c r="AG37" s="1114"/>
      <c r="AH37" s="1114"/>
      <c r="AI37" s="1114"/>
      <c r="AJ37" s="1114"/>
      <c r="AK37" s="1114"/>
      <c r="AL37" s="1114"/>
      <c r="AM37" s="1114"/>
      <c r="AN37" s="1114"/>
      <c r="AO37" s="1114"/>
      <c r="AP37" s="1114"/>
      <c r="AQ37" s="1114"/>
      <c r="AR37" s="1114"/>
      <c r="AS37" s="1114"/>
      <c r="AT37" s="1114"/>
      <c r="AU37" s="1114"/>
      <c r="AV37" s="1114"/>
      <c r="AW37" s="1114"/>
      <c r="AX37" s="1114"/>
      <c r="AY37" s="1115"/>
      <c r="AZ37" s="1116"/>
      <c r="BA37" s="1116"/>
      <c r="BB37" s="1116"/>
      <c r="BC37" s="1116"/>
      <c r="BD37" s="1116"/>
      <c r="BE37" s="1116"/>
      <c r="BF37" s="1117"/>
    </row>
    <row r="38" spans="1:58" ht="12" customHeight="1" x14ac:dyDescent="0.2">
      <c r="A38" s="1118"/>
      <c r="B38" s="1119"/>
      <c r="C38" s="1119"/>
      <c r="D38" s="1119"/>
      <c r="E38" s="1119"/>
      <c r="F38" s="1119"/>
      <c r="G38" s="1119"/>
      <c r="H38" s="1119"/>
      <c r="I38" s="1119"/>
      <c r="J38" s="1119"/>
      <c r="K38" s="1119"/>
      <c r="L38" s="1119"/>
      <c r="M38" s="1119"/>
      <c r="N38" s="1119"/>
      <c r="O38" s="1119"/>
      <c r="P38" s="1119"/>
      <c r="Q38" s="1119"/>
      <c r="R38" s="1119"/>
      <c r="S38" s="1119"/>
      <c r="T38" s="1119"/>
      <c r="U38" s="1119"/>
      <c r="V38" s="1119"/>
      <c r="W38" s="1120"/>
      <c r="X38" s="1120"/>
      <c r="Y38" s="1120"/>
      <c r="Z38" s="1120"/>
      <c r="AA38" s="1120"/>
      <c r="AB38" s="1120"/>
      <c r="AC38" s="1121"/>
      <c r="AD38" s="1121"/>
      <c r="AE38" s="1121"/>
      <c r="AF38" s="1121"/>
      <c r="AG38" s="1121"/>
      <c r="AH38" s="1121"/>
      <c r="AI38" s="1121"/>
      <c r="AJ38" s="1121"/>
      <c r="AK38" s="1121"/>
      <c r="AL38" s="1121"/>
      <c r="AM38" s="1121"/>
      <c r="AN38" s="1121"/>
      <c r="AO38" s="1121"/>
      <c r="AP38" s="1121"/>
      <c r="AQ38" s="1121"/>
      <c r="AR38" s="1121"/>
      <c r="AS38" s="1121"/>
      <c r="AT38" s="1121"/>
      <c r="AU38" s="1121"/>
      <c r="AV38" s="1121"/>
      <c r="AW38" s="1121"/>
      <c r="AX38" s="1121"/>
      <c r="AY38" s="1122"/>
      <c r="AZ38" s="1123"/>
      <c r="BA38" s="1123"/>
      <c r="BB38" s="1123"/>
      <c r="BC38" s="1123"/>
      <c r="BD38" s="1123"/>
      <c r="BE38" s="1123"/>
      <c r="BF38" s="1124"/>
    </row>
    <row r="39" spans="1:58" ht="12" customHeight="1" x14ac:dyDescent="0.2">
      <c r="A39" s="1111"/>
      <c r="B39" s="1112"/>
      <c r="C39" s="1112"/>
      <c r="D39" s="1112"/>
      <c r="E39" s="1112"/>
      <c r="F39" s="1112"/>
      <c r="G39" s="1112"/>
      <c r="H39" s="1112"/>
      <c r="I39" s="1112"/>
      <c r="J39" s="1112"/>
      <c r="K39" s="1112"/>
      <c r="L39" s="1112"/>
      <c r="M39" s="1112"/>
      <c r="N39" s="1112"/>
      <c r="O39" s="1112"/>
      <c r="P39" s="1112"/>
      <c r="Q39" s="1112"/>
      <c r="R39" s="1112"/>
      <c r="S39" s="1112"/>
      <c r="T39" s="1112"/>
      <c r="U39" s="1112"/>
      <c r="V39" s="1112"/>
      <c r="W39" s="1113"/>
      <c r="X39" s="1113"/>
      <c r="Y39" s="1113"/>
      <c r="Z39" s="1113"/>
      <c r="AA39" s="1113"/>
      <c r="AB39" s="1113"/>
      <c r="AC39" s="1114"/>
      <c r="AD39" s="1114"/>
      <c r="AE39" s="1114"/>
      <c r="AF39" s="1114"/>
      <c r="AG39" s="1114"/>
      <c r="AH39" s="1114"/>
      <c r="AI39" s="1114"/>
      <c r="AJ39" s="1114"/>
      <c r="AK39" s="1114"/>
      <c r="AL39" s="1114"/>
      <c r="AM39" s="1114"/>
      <c r="AN39" s="1114"/>
      <c r="AO39" s="1114"/>
      <c r="AP39" s="1114"/>
      <c r="AQ39" s="1114"/>
      <c r="AR39" s="1114"/>
      <c r="AS39" s="1114"/>
      <c r="AT39" s="1114"/>
      <c r="AU39" s="1114"/>
      <c r="AV39" s="1114"/>
      <c r="AW39" s="1114"/>
      <c r="AX39" s="1114"/>
      <c r="AY39" s="1115"/>
      <c r="AZ39" s="1116"/>
      <c r="BA39" s="1116"/>
      <c r="BB39" s="1116"/>
      <c r="BC39" s="1116"/>
      <c r="BD39" s="1116"/>
      <c r="BE39" s="1116"/>
      <c r="BF39" s="1117"/>
    </row>
    <row r="40" spans="1:58" ht="12" customHeight="1" x14ac:dyDescent="0.2">
      <c r="A40" s="1118"/>
      <c r="B40" s="1119"/>
      <c r="C40" s="1119"/>
      <c r="D40" s="1119"/>
      <c r="E40" s="1119"/>
      <c r="F40" s="1119"/>
      <c r="G40" s="1119"/>
      <c r="H40" s="1119"/>
      <c r="I40" s="1119"/>
      <c r="J40" s="1119"/>
      <c r="K40" s="1119"/>
      <c r="L40" s="1119"/>
      <c r="M40" s="1119"/>
      <c r="N40" s="1119"/>
      <c r="O40" s="1119"/>
      <c r="P40" s="1119"/>
      <c r="Q40" s="1119"/>
      <c r="R40" s="1119"/>
      <c r="S40" s="1119"/>
      <c r="T40" s="1119"/>
      <c r="U40" s="1119"/>
      <c r="V40" s="1119"/>
      <c r="W40" s="1120"/>
      <c r="X40" s="1120"/>
      <c r="Y40" s="1120"/>
      <c r="Z40" s="1120"/>
      <c r="AA40" s="1120"/>
      <c r="AB40" s="1120"/>
      <c r="AC40" s="1121"/>
      <c r="AD40" s="1121"/>
      <c r="AE40" s="1121"/>
      <c r="AF40" s="1121"/>
      <c r="AG40" s="1121"/>
      <c r="AH40" s="1121"/>
      <c r="AI40" s="1121"/>
      <c r="AJ40" s="1121"/>
      <c r="AK40" s="1121"/>
      <c r="AL40" s="1121"/>
      <c r="AM40" s="1121"/>
      <c r="AN40" s="1121"/>
      <c r="AO40" s="1121"/>
      <c r="AP40" s="1121"/>
      <c r="AQ40" s="1121"/>
      <c r="AR40" s="1121"/>
      <c r="AS40" s="1121"/>
      <c r="AT40" s="1121"/>
      <c r="AU40" s="1121"/>
      <c r="AV40" s="1121"/>
      <c r="AW40" s="1121"/>
      <c r="AX40" s="1121"/>
      <c r="AY40" s="1122"/>
      <c r="AZ40" s="1123"/>
      <c r="BA40" s="1123"/>
      <c r="BB40" s="1123"/>
      <c r="BC40" s="1123"/>
      <c r="BD40" s="1123"/>
      <c r="BE40" s="1123"/>
      <c r="BF40" s="1124"/>
    </row>
    <row r="41" spans="1:58" ht="12" customHeight="1" x14ac:dyDescent="0.2">
      <c r="A41" s="1111"/>
      <c r="B41" s="1112"/>
      <c r="C41" s="1112"/>
      <c r="D41" s="1112"/>
      <c r="E41" s="1112"/>
      <c r="F41" s="1112"/>
      <c r="G41" s="1112"/>
      <c r="H41" s="1112"/>
      <c r="I41" s="1112"/>
      <c r="J41" s="1112"/>
      <c r="K41" s="1112"/>
      <c r="L41" s="1112"/>
      <c r="M41" s="1112"/>
      <c r="N41" s="1112"/>
      <c r="O41" s="1112"/>
      <c r="P41" s="1112"/>
      <c r="Q41" s="1112"/>
      <c r="R41" s="1112"/>
      <c r="S41" s="1112"/>
      <c r="T41" s="1112"/>
      <c r="U41" s="1112"/>
      <c r="V41" s="1112"/>
      <c r="W41" s="1113"/>
      <c r="X41" s="1113"/>
      <c r="Y41" s="1113"/>
      <c r="Z41" s="1113"/>
      <c r="AA41" s="1113"/>
      <c r="AB41" s="1113"/>
      <c r="AC41" s="1114"/>
      <c r="AD41" s="1114"/>
      <c r="AE41" s="1114"/>
      <c r="AF41" s="1114"/>
      <c r="AG41" s="1114"/>
      <c r="AH41" s="1114"/>
      <c r="AI41" s="1114"/>
      <c r="AJ41" s="1114"/>
      <c r="AK41" s="1114"/>
      <c r="AL41" s="1114"/>
      <c r="AM41" s="1114"/>
      <c r="AN41" s="1114"/>
      <c r="AO41" s="1114"/>
      <c r="AP41" s="1114"/>
      <c r="AQ41" s="1114"/>
      <c r="AR41" s="1114"/>
      <c r="AS41" s="1114"/>
      <c r="AT41" s="1114"/>
      <c r="AU41" s="1114"/>
      <c r="AV41" s="1114"/>
      <c r="AW41" s="1114"/>
      <c r="AX41" s="1114"/>
      <c r="AY41" s="1115"/>
      <c r="AZ41" s="1116"/>
      <c r="BA41" s="1116"/>
      <c r="BB41" s="1116"/>
      <c r="BC41" s="1116"/>
      <c r="BD41" s="1116"/>
      <c r="BE41" s="1116"/>
      <c r="BF41" s="1117"/>
    </row>
    <row r="42" spans="1:58" ht="12" customHeight="1" x14ac:dyDescent="0.2">
      <c r="A42" s="1118"/>
      <c r="B42" s="1119"/>
      <c r="C42" s="1119"/>
      <c r="D42" s="1119"/>
      <c r="E42" s="1119"/>
      <c r="F42" s="1119"/>
      <c r="G42" s="1119"/>
      <c r="H42" s="1119"/>
      <c r="I42" s="1119"/>
      <c r="J42" s="1119"/>
      <c r="K42" s="1119"/>
      <c r="L42" s="1119"/>
      <c r="M42" s="1119"/>
      <c r="N42" s="1119"/>
      <c r="O42" s="1119"/>
      <c r="P42" s="1119"/>
      <c r="Q42" s="1119"/>
      <c r="R42" s="1119"/>
      <c r="S42" s="1119"/>
      <c r="T42" s="1119"/>
      <c r="U42" s="1119"/>
      <c r="V42" s="1119"/>
      <c r="W42" s="1120"/>
      <c r="X42" s="1120"/>
      <c r="Y42" s="1120"/>
      <c r="Z42" s="1120"/>
      <c r="AA42" s="1120"/>
      <c r="AB42" s="1120"/>
      <c r="AC42" s="1121"/>
      <c r="AD42" s="1121"/>
      <c r="AE42" s="1121"/>
      <c r="AF42" s="1121"/>
      <c r="AG42" s="1121"/>
      <c r="AH42" s="1121"/>
      <c r="AI42" s="1121"/>
      <c r="AJ42" s="1121"/>
      <c r="AK42" s="1121"/>
      <c r="AL42" s="1121"/>
      <c r="AM42" s="1121"/>
      <c r="AN42" s="1121"/>
      <c r="AO42" s="1121"/>
      <c r="AP42" s="1121"/>
      <c r="AQ42" s="1121"/>
      <c r="AR42" s="1121"/>
      <c r="AS42" s="1121"/>
      <c r="AT42" s="1121"/>
      <c r="AU42" s="1121"/>
      <c r="AV42" s="1121"/>
      <c r="AW42" s="1121"/>
      <c r="AX42" s="1121"/>
      <c r="AY42" s="1122"/>
      <c r="AZ42" s="1123"/>
      <c r="BA42" s="1123"/>
      <c r="BB42" s="1123"/>
      <c r="BC42" s="1123"/>
      <c r="BD42" s="1123"/>
      <c r="BE42" s="1123"/>
      <c r="BF42" s="1124"/>
    </row>
    <row r="43" spans="1:58" ht="12" customHeight="1" x14ac:dyDescent="0.2">
      <c r="A43" s="1111"/>
      <c r="B43" s="1112"/>
      <c r="C43" s="1112"/>
      <c r="D43" s="1112"/>
      <c r="E43" s="1112"/>
      <c r="F43" s="1112"/>
      <c r="G43" s="1112"/>
      <c r="H43" s="1112"/>
      <c r="I43" s="1112"/>
      <c r="J43" s="1112"/>
      <c r="K43" s="1112"/>
      <c r="L43" s="1112"/>
      <c r="M43" s="1112"/>
      <c r="N43" s="1112"/>
      <c r="O43" s="1112"/>
      <c r="P43" s="1112"/>
      <c r="Q43" s="1112"/>
      <c r="R43" s="1112"/>
      <c r="S43" s="1112"/>
      <c r="T43" s="1112"/>
      <c r="U43" s="1112"/>
      <c r="V43" s="1112"/>
      <c r="W43" s="1113"/>
      <c r="X43" s="1113"/>
      <c r="Y43" s="1113"/>
      <c r="Z43" s="1113"/>
      <c r="AA43" s="1113"/>
      <c r="AB43" s="1113"/>
      <c r="AC43" s="1114"/>
      <c r="AD43" s="1114"/>
      <c r="AE43" s="1114"/>
      <c r="AF43" s="1114"/>
      <c r="AG43" s="1114"/>
      <c r="AH43" s="1114"/>
      <c r="AI43" s="1114"/>
      <c r="AJ43" s="1114"/>
      <c r="AK43" s="1114"/>
      <c r="AL43" s="1114"/>
      <c r="AM43" s="1114"/>
      <c r="AN43" s="1114"/>
      <c r="AO43" s="1114"/>
      <c r="AP43" s="1114"/>
      <c r="AQ43" s="1114"/>
      <c r="AR43" s="1114"/>
      <c r="AS43" s="1114"/>
      <c r="AT43" s="1114"/>
      <c r="AU43" s="1114"/>
      <c r="AV43" s="1114"/>
      <c r="AW43" s="1114"/>
      <c r="AX43" s="1114"/>
      <c r="AY43" s="1115"/>
      <c r="AZ43" s="1116"/>
      <c r="BA43" s="1116"/>
      <c r="BB43" s="1116"/>
      <c r="BC43" s="1116"/>
      <c r="BD43" s="1116"/>
      <c r="BE43" s="1116"/>
      <c r="BF43" s="1117"/>
    </row>
    <row r="44" spans="1:58" ht="12" customHeight="1" x14ac:dyDescent="0.2">
      <c r="A44" s="1118"/>
      <c r="B44" s="1119"/>
      <c r="C44" s="1119"/>
      <c r="D44" s="1119"/>
      <c r="E44" s="1119"/>
      <c r="F44" s="1119"/>
      <c r="G44" s="1119"/>
      <c r="H44" s="1119"/>
      <c r="I44" s="1119"/>
      <c r="J44" s="1119"/>
      <c r="K44" s="1119"/>
      <c r="L44" s="1119"/>
      <c r="M44" s="1119"/>
      <c r="N44" s="1119"/>
      <c r="O44" s="1119"/>
      <c r="P44" s="1119"/>
      <c r="Q44" s="1119"/>
      <c r="R44" s="1119"/>
      <c r="S44" s="1119"/>
      <c r="T44" s="1119"/>
      <c r="U44" s="1119"/>
      <c r="V44" s="1119"/>
      <c r="W44" s="1120"/>
      <c r="X44" s="1120"/>
      <c r="Y44" s="1120"/>
      <c r="Z44" s="1120"/>
      <c r="AA44" s="1120"/>
      <c r="AB44" s="1120"/>
      <c r="AC44" s="1121"/>
      <c r="AD44" s="1121"/>
      <c r="AE44" s="1121"/>
      <c r="AF44" s="1121"/>
      <c r="AG44" s="1121"/>
      <c r="AH44" s="1121"/>
      <c r="AI44" s="1121"/>
      <c r="AJ44" s="1121"/>
      <c r="AK44" s="1121"/>
      <c r="AL44" s="1121"/>
      <c r="AM44" s="1121"/>
      <c r="AN44" s="1121"/>
      <c r="AO44" s="1121"/>
      <c r="AP44" s="1121"/>
      <c r="AQ44" s="1121"/>
      <c r="AR44" s="1121"/>
      <c r="AS44" s="1121"/>
      <c r="AT44" s="1121"/>
      <c r="AU44" s="1121"/>
      <c r="AV44" s="1121"/>
      <c r="AW44" s="1121"/>
      <c r="AX44" s="1121"/>
      <c r="AY44" s="1122"/>
      <c r="AZ44" s="1123"/>
      <c r="BA44" s="1123"/>
      <c r="BB44" s="1123"/>
      <c r="BC44" s="1123"/>
      <c r="BD44" s="1123"/>
      <c r="BE44" s="1123"/>
      <c r="BF44" s="1124"/>
    </row>
    <row r="45" spans="1:58" ht="12" customHeight="1" x14ac:dyDescent="0.2">
      <c r="A45" s="1111"/>
      <c r="B45" s="1112"/>
      <c r="C45" s="1112"/>
      <c r="D45" s="1112"/>
      <c r="E45" s="1112"/>
      <c r="F45" s="1112"/>
      <c r="G45" s="1112"/>
      <c r="H45" s="1112"/>
      <c r="I45" s="1112"/>
      <c r="J45" s="1112"/>
      <c r="K45" s="1112"/>
      <c r="L45" s="1112"/>
      <c r="M45" s="1112"/>
      <c r="N45" s="1112"/>
      <c r="O45" s="1112"/>
      <c r="P45" s="1112"/>
      <c r="Q45" s="1112"/>
      <c r="R45" s="1112"/>
      <c r="S45" s="1112"/>
      <c r="T45" s="1112"/>
      <c r="U45" s="1112"/>
      <c r="V45" s="1112"/>
      <c r="W45" s="1113"/>
      <c r="X45" s="1113"/>
      <c r="Y45" s="1113"/>
      <c r="Z45" s="1113"/>
      <c r="AA45" s="1113"/>
      <c r="AB45" s="1113"/>
      <c r="AC45" s="1114"/>
      <c r="AD45" s="1114"/>
      <c r="AE45" s="1114"/>
      <c r="AF45" s="1114"/>
      <c r="AG45" s="1114"/>
      <c r="AH45" s="1114"/>
      <c r="AI45" s="1114"/>
      <c r="AJ45" s="1114"/>
      <c r="AK45" s="1114"/>
      <c r="AL45" s="1114"/>
      <c r="AM45" s="1114"/>
      <c r="AN45" s="1114"/>
      <c r="AO45" s="1114"/>
      <c r="AP45" s="1114"/>
      <c r="AQ45" s="1114"/>
      <c r="AR45" s="1114"/>
      <c r="AS45" s="1114"/>
      <c r="AT45" s="1114"/>
      <c r="AU45" s="1114"/>
      <c r="AV45" s="1114"/>
      <c r="AW45" s="1114"/>
      <c r="AX45" s="1114"/>
      <c r="AY45" s="1115"/>
      <c r="AZ45" s="1116"/>
      <c r="BA45" s="1116"/>
      <c r="BB45" s="1116"/>
      <c r="BC45" s="1116"/>
      <c r="BD45" s="1116"/>
      <c r="BE45" s="1116"/>
      <c r="BF45" s="1117"/>
    </row>
    <row r="46" spans="1:58" ht="12" customHeight="1" x14ac:dyDescent="0.2">
      <c r="A46" s="1118"/>
      <c r="B46" s="1119"/>
      <c r="C46" s="1119"/>
      <c r="D46" s="1119"/>
      <c r="E46" s="1119"/>
      <c r="F46" s="1119"/>
      <c r="G46" s="1119"/>
      <c r="H46" s="1119"/>
      <c r="I46" s="1119"/>
      <c r="J46" s="1119"/>
      <c r="K46" s="1119"/>
      <c r="L46" s="1119"/>
      <c r="M46" s="1119"/>
      <c r="N46" s="1119"/>
      <c r="O46" s="1119"/>
      <c r="P46" s="1119"/>
      <c r="Q46" s="1119"/>
      <c r="R46" s="1119"/>
      <c r="S46" s="1119"/>
      <c r="T46" s="1119"/>
      <c r="U46" s="1119"/>
      <c r="V46" s="1119"/>
      <c r="W46" s="1120"/>
      <c r="X46" s="1120"/>
      <c r="Y46" s="1120"/>
      <c r="Z46" s="1120"/>
      <c r="AA46" s="1120"/>
      <c r="AB46" s="1120"/>
      <c r="AC46" s="1121"/>
      <c r="AD46" s="1121"/>
      <c r="AE46" s="1121"/>
      <c r="AF46" s="1121"/>
      <c r="AG46" s="1121"/>
      <c r="AH46" s="1121"/>
      <c r="AI46" s="1121"/>
      <c r="AJ46" s="1121"/>
      <c r="AK46" s="1121"/>
      <c r="AL46" s="1121"/>
      <c r="AM46" s="1121"/>
      <c r="AN46" s="1121"/>
      <c r="AO46" s="1121"/>
      <c r="AP46" s="1121"/>
      <c r="AQ46" s="1121"/>
      <c r="AR46" s="1121"/>
      <c r="AS46" s="1121"/>
      <c r="AT46" s="1121"/>
      <c r="AU46" s="1121"/>
      <c r="AV46" s="1121"/>
      <c r="AW46" s="1121"/>
      <c r="AX46" s="1121"/>
      <c r="AY46" s="1122"/>
      <c r="AZ46" s="1123"/>
      <c r="BA46" s="1123"/>
      <c r="BB46" s="1123"/>
      <c r="BC46" s="1123"/>
      <c r="BD46" s="1123"/>
      <c r="BE46" s="1123"/>
      <c r="BF46" s="1124"/>
    </row>
    <row r="47" spans="1:58" ht="12" customHeight="1" x14ac:dyDescent="0.2">
      <c r="A47" s="1111"/>
      <c r="B47" s="1112"/>
      <c r="C47" s="1112"/>
      <c r="D47" s="1112"/>
      <c r="E47" s="1112"/>
      <c r="F47" s="1112"/>
      <c r="G47" s="1112"/>
      <c r="H47" s="1112"/>
      <c r="I47" s="1112"/>
      <c r="J47" s="1112"/>
      <c r="K47" s="1112"/>
      <c r="L47" s="1112"/>
      <c r="M47" s="1112"/>
      <c r="N47" s="1112"/>
      <c r="O47" s="1112"/>
      <c r="P47" s="1112"/>
      <c r="Q47" s="1112"/>
      <c r="R47" s="1112"/>
      <c r="S47" s="1112"/>
      <c r="T47" s="1112"/>
      <c r="U47" s="1112"/>
      <c r="V47" s="1112"/>
      <c r="W47" s="1113"/>
      <c r="X47" s="1113"/>
      <c r="Y47" s="1113"/>
      <c r="Z47" s="1113"/>
      <c r="AA47" s="1113"/>
      <c r="AB47" s="1113"/>
      <c r="AC47" s="1114"/>
      <c r="AD47" s="1114"/>
      <c r="AE47" s="1114"/>
      <c r="AF47" s="1114"/>
      <c r="AG47" s="1114"/>
      <c r="AH47" s="1114"/>
      <c r="AI47" s="1114"/>
      <c r="AJ47" s="1114"/>
      <c r="AK47" s="1114"/>
      <c r="AL47" s="1114"/>
      <c r="AM47" s="1114"/>
      <c r="AN47" s="1114"/>
      <c r="AO47" s="1114"/>
      <c r="AP47" s="1114"/>
      <c r="AQ47" s="1114"/>
      <c r="AR47" s="1114"/>
      <c r="AS47" s="1114"/>
      <c r="AT47" s="1114"/>
      <c r="AU47" s="1114"/>
      <c r="AV47" s="1114"/>
      <c r="AW47" s="1114"/>
      <c r="AX47" s="1114"/>
      <c r="AY47" s="1115"/>
      <c r="AZ47" s="1116"/>
      <c r="BA47" s="1116"/>
      <c r="BB47" s="1116"/>
      <c r="BC47" s="1116"/>
      <c r="BD47" s="1116"/>
      <c r="BE47" s="1116"/>
      <c r="BF47" s="1117"/>
    </row>
    <row r="48" spans="1:58" ht="12" customHeight="1" x14ac:dyDescent="0.2">
      <c r="A48" s="1118"/>
      <c r="B48" s="1119"/>
      <c r="C48" s="1119"/>
      <c r="D48" s="1119"/>
      <c r="E48" s="1119"/>
      <c r="F48" s="1119"/>
      <c r="G48" s="1119"/>
      <c r="H48" s="1119"/>
      <c r="I48" s="1119"/>
      <c r="J48" s="1119"/>
      <c r="K48" s="1119"/>
      <c r="L48" s="1119"/>
      <c r="M48" s="1119"/>
      <c r="N48" s="1119"/>
      <c r="O48" s="1119"/>
      <c r="P48" s="1119"/>
      <c r="Q48" s="1119"/>
      <c r="R48" s="1119"/>
      <c r="S48" s="1119"/>
      <c r="T48" s="1119"/>
      <c r="U48" s="1119"/>
      <c r="V48" s="1119"/>
      <c r="W48" s="1120"/>
      <c r="X48" s="1120"/>
      <c r="Y48" s="1120"/>
      <c r="Z48" s="1120"/>
      <c r="AA48" s="1120"/>
      <c r="AB48" s="1120"/>
      <c r="AC48" s="1121"/>
      <c r="AD48" s="1121"/>
      <c r="AE48" s="1121"/>
      <c r="AF48" s="1121"/>
      <c r="AG48" s="1121"/>
      <c r="AH48" s="1121"/>
      <c r="AI48" s="1121"/>
      <c r="AJ48" s="1121"/>
      <c r="AK48" s="1121"/>
      <c r="AL48" s="1121"/>
      <c r="AM48" s="1121"/>
      <c r="AN48" s="1121"/>
      <c r="AO48" s="1121"/>
      <c r="AP48" s="1121"/>
      <c r="AQ48" s="1121"/>
      <c r="AR48" s="1121"/>
      <c r="AS48" s="1121"/>
      <c r="AT48" s="1121"/>
      <c r="AU48" s="1121"/>
      <c r="AV48" s="1121"/>
      <c r="AW48" s="1121"/>
      <c r="AX48" s="1121"/>
      <c r="AY48" s="1122"/>
      <c r="AZ48" s="1123"/>
      <c r="BA48" s="1123"/>
      <c r="BB48" s="1123"/>
      <c r="BC48" s="1123"/>
      <c r="BD48" s="1123"/>
      <c r="BE48" s="1123"/>
      <c r="BF48" s="1124"/>
    </row>
    <row r="49" spans="1:58" ht="12" customHeight="1" x14ac:dyDescent="0.2">
      <c r="A49" s="1111"/>
      <c r="B49" s="1112"/>
      <c r="C49" s="1112"/>
      <c r="D49" s="1112"/>
      <c r="E49" s="1112"/>
      <c r="F49" s="1112"/>
      <c r="G49" s="1112"/>
      <c r="H49" s="1112"/>
      <c r="I49" s="1112"/>
      <c r="J49" s="1112"/>
      <c r="K49" s="1112"/>
      <c r="L49" s="1112"/>
      <c r="M49" s="1112"/>
      <c r="N49" s="1112"/>
      <c r="O49" s="1112"/>
      <c r="P49" s="1112"/>
      <c r="Q49" s="1112"/>
      <c r="R49" s="1112"/>
      <c r="S49" s="1112"/>
      <c r="T49" s="1112"/>
      <c r="U49" s="1112"/>
      <c r="V49" s="1112"/>
      <c r="W49" s="1113"/>
      <c r="X49" s="1113"/>
      <c r="Y49" s="1113"/>
      <c r="Z49" s="1113"/>
      <c r="AA49" s="1113"/>
      <c r="AB49" s="1113"/>
      <c r="AC49" s="1114"/>
      <c r="AD49" s="1114"/>
      <c r="AE49" s="1114"/>
      <c r="AF49" s="1114"/>
      <c r="AG49" s="1114"/>
      <c r="AH49" s="1114"/>
      <c r="AI49" s="1114"/>
      <c r="AJ49" s="1114"/>
      <c r="AK49" s="1114"/>
      <c r="AL49" s="1114"/>
      <c r="AM49" s="1114"/>
      <c r="AN49" s="1114"/>
      <c r="AO49" s="1114"/>
      <c r="AP49" s="1114"/>
      <c r="AQ49" s="1114"/>
      <c r="AR49" s="1114"/>
      <c r="AS49" s="1114"/>
      <c r="AT49" s="1114"/>
      <c r="AU49" s="1114"/>
      <c r="AV49" s="1114"/>
      <c r="AW49" s="1114"/>
      <c r="AX49" s="1114"/>
      <c r="AY49" s="1115"/>
      <c r="AZ49" s="1116"/>
      <c r="BA49" s="1116"/>
      <c r="BB49" s="1116"/>
      <c r="BC49" s="1116"/>
      <c r="BD49" s="1116"/>
      <c r="BE49" s="1116"/>
      <c r="BF49" s="1117"/>
    </row>
    <row r="50" spans="1:58" ht="12" customHeight="1" x14ac:dyDescent="0.2">
      <c r="A50" s="1118"/>
      <c r="B50" s="1119"/>
      <c r="C50" s="1119"/>
      <c r="D50" s="1119"/>
      <c r="E50" s="1119"/>
      <c r="F50" s="1119"/>
      <c r="G50" s="1119"/>
      <c r="H50" s="1119"/>
      <c r="I50" s="1119"/>
      <c r="J50" s="1119"/>
      <c r="K50" s="1119"/>
      <c r="L50" s="1119"/>
      <c r="M50" s="1119"/>
      <c r="N50" s="1119"/>
      <c r="O50" s="1119"/>
      <c r="P50" s="1119"/>
      <c r="Q50" s="1119"/>
      <c r="R50" s="1119"/>
      <c r="S50" s="1119"/>
      <c r="T50" s="1119"/>
      <c r="U50" s="1119"/>
      <c r="V50" s="1119"/>
      <c r="W50" s="1120"/>
      <c r="X50" s="1120"/>
      <c r="Y50" s="1120"/>
      <c r="Z50" s="1120"/>
      <c r="AA50" s="1120"/>
      <c r="AB50" s="1120"/>
      <c r="AC50" s="1121"/>
      <c r="AD50" s="1121"/>
      <c r="AE50" s="1121"/>
      <c r="AF50" s="1121"/>
      <c r="AG50" s="1121"/>
      <c r="AH50" s="1121"/>
      <c r="AI50" s="1121"/>
      <c r="AJ50" s="1121"/>
      <c r="AK50" s="1121"/>
      <c r="AL50" s="1121"/>
      <c r="AM50" s="1121"/>
      <c r="AN50" s="1121"/>
      <c r="AO50" s="1121"/>
      <c r="AP50" s="1121"/>
      <c r="AQ50" s="1121"/>
      <c r="AR50" s="1121"/>
      <c r="AS50" s="1121"/>
      <c r="AT50" s="1121"/>
      <c r="AU50" s="1121"/>
      <c r="AV50" s="1121"/>
      <c r="AW50" s="1121"/>
      <c r="AX50" s="1121"/>
      <c r="AY50" s="1122"/>
      <c r="AZ50" s="1123"/>
      <c r="BA50" s="1123"/>
      <c r="BB50" s="1123"/>
      <c r="BC50" s="1123"/>
      <c r="BD50" s="1123"/>
      <c r="BE50" s="1123"/>
      <c r="BF50" s="1124"/>
    </row>
    <row r="51" spans="1:58" ht="12" customHeight="1" x14ac:dyDescent="0.2">
      <c r="A51" s="1111"/>
      <c r="B51" s="1112"/>
      <c r="C51" s="1112"/>
      <c r="D51" s="1112"/>
      <c r="E51" s="1112"/>
      <c r="F51" s="1112"/>
      <c r="G51" s="1112"/>
      <c r="H51" s="1112"/>
      <c r="I51" s="1112"/>
      <c r="J51" s="1112"/>
      <c r="K51" s="1112"/>
      <c r="L51" s="1112"/>
      <c r="M51" s="1112"/>
      <c r="N51" s="1112"/>
      <c r="O51" s="1112"/>
      <c r="P51" s="1112"/>
      <c r="Q51" s="1112"/>
      <c r="R51" s="1112"/>
      <c r="S51" s="1112"/>
      <c r="T51" s="1112"/>
      <c r="U51" s="1112"/>
      <c r="V51" s="1112"/>
      <c r="W51" s="1113"/>
      <c r="X51" s="1113"/>
      <c r="Y51" s="1113"/>
      <c r="Z51" s="1113"/>
      <c r="AA51" s="1113"/>
      <c r="AB51" s="1113"/>
      <c r="AC51" s="1114"/>
      <c r="AD51" s="1114"/>
      <c r="AE51" s="1114"/>
      <c r="AF51" s="1114"/>
      <c r="AG51" s="1114"/>
      <c r="AH51" s="1114"/>
      <c r="AI51" s="1114"/>
      <c r="AJ51" s="1114"/>
      <c r="AK51" s="1114"/>
      <c r="AL51" s="1114"/>
      <c r="AM51" s="1114"/>
      <c r="AN51" s="1114"/>
      <c r="AO51" s="1114"/>
      <c r="AP51" s="1114"/>
      <c r="AQ51" s="1114"/>
      <c r="AR51" s="1114"/>
      <c r="AS51" s="1114"/>
      <c r="AT51" s="1114"/>
      <c r="AU51" s="1114"/>
      <c r="AV51" s="1114"/>
      <c r="AW51" s="1114"/>
      <c r="AX51" s="1114"/>
      <c r="AY51" s="1115"/>
      <c r="AZ51" s="1116"/>
      <c r="BA51" s="1116"/>
      <c r="BB51" s="1116"/>
      <c r="BC51" s="1116"/>
      <c r="BD51" s="1116"/>
      <c r="BE51" s="1116"/>
      <c r="BF51" s="1117"/>
    </row>
    <row r="52" spans="1:58" ht="12" customHeight="1" x14ac:dyDescent="0.2">
      <c r="A52" s="1118"/>
      <c r="B52" s="1119"/>
      <c r="C52" s="1119"/>
      <c r="D52" s="1119"/>
      <c r="E52" s="1119"/>
      <c r="F52" s="1119"/>
      <c r="G52" s="1119"/>
      <c r="H52" s="1119"/>
      <c r="I52" s="1119"/>
      <c r="J52" s="1119"/>
      <c r="K52" s="1119"/>
      <c r="L52" s="1119"/>
      <c r="M52" s="1119"/>
      <c r="N52" s="1119"/>
      <c r="O52" s="1119"/>
      <c r="P52" s="1119"/>
      <c r="Q52" s="1119"/>
      <c r="R52" s="1119"/>
      <c r="S52" s="1119"/>
      <c r="T52" s="1119"/>
      <c r="U52" s="1119"/>
      <c r="V52" s="1119"/>
      <c r="W52" s="1120"/>
      <c r="X52" s="1120"/>
      <c r="Y52" s="1120"/>
      <c r="Z52" s="1120"/>
      <c r="AA52" s="1120"/>
      <c r="AB52" s="1120"/>
      <c r="AC52" s="1121"/>
      <c r="AD52" s="1121"/>
      <c r="AE52" s="1121"/>
      <c r="AF52" s="1121"/>
      <c r="AG52" s="1121"/>
      <c r="AH52" s="1121"/>
      <c r="AI52" s="1121"/>
      <c r="AJ52" s="1121"/>
      <c r="AK52" s="1121"/>
      <c r="AL52" s="1121"/>
      <c r="AM52" s="1121"/>
      <c r="AN52" s="1121"/>
      <c r="AO52" s="1121"/>
      <c r="AP52" s="1121"/>
      <c r="AQ52" s="1121"/>
      <c r="AR52" s="1121"/>
      <c r="AS52" s="1121"/>
      <c r="AT52" s="1121"/>
      <c r="AU52" s="1121"/>
      <c r="AV52" s="1121"/>
      <c r="AW52" s="1121"/>
      <c r="AX52" s="1121"/>
      <c r="AY52" s="1122"/>
      <c r="AZ52" s="1123"/>
      <c r="BA52" s="1123"/>
      <c r="BB52" s="1123"/>
      <c r="BC52" s="1123"/>
      <c r="BD52" s="1123"/>
      <c r="BE52" s="1123"/>
      <c r="BF52" s="1124"/>
    </row>
    <row r="53" spans="1:58" ht="12" customHeight="1" x14ac:dyDescent="0.2">
      <c r="A53" s="1111"/>
      <c r="B53" s="1112"/>
      <c r="C53" s="1112"/>
      <c r="D53" s="1112"/>
      <c r="E53" s="1112"/>
      <c r="F53" s="1112"/>
      <c r="G53" s="1112"/>
      <c r="H53" s="1112"/>
      <c r="I53" s="1112"/>
      <c r="J53" s="1112"/>
      <c r="K53" s="1112"/>
      <c r="L53" s="1112"/>
      <c r="M53" s="1112"/>
      <c r="N53" s="1112"/>
      <c r="O53" s="1112"/>
      <c r="P53" s="1112"/>
      <c r="Q53" s="1112"/>
      <c r="R53" s="1112"/>
      <c r="S53" s="1112"/>
      <c r="T53" s="1112"/>
      <c r="U53" s="1112"/>
      <c r="V53" s="1112"/>
      <c r="W53" s="1113"/>
      <c r="X53" s="1113"/>
      <c r="Y53" s="1113"/>
      <c r="Z53" s="1113"/>
      <c r="AA53" s="1113"/>
      <c r="AB53" s="1113"/>
      <c r="AC53" s="1114"/>
      <c r="AD53" s="1114"/>
      <c r="AE53" s="1114"/>
      <c r="AF53" s="1114"/>
      <c r="AG53" s="1114"/>
      <c r="AH53" s="1114"/>
      <c r="AI53" s="1114"/>
      <c r="AJ53" s="1114"/>
      <c r="AK53" s="1114"/>
      <c r="AL53" s="1114"/>
      <c r="AM53" s="1114"/>
      <c r="AN53" s="1114"/>
      <c r="AO53" s="1114"/>
      <c r="AP53" s="1114"/>
      <c r="AQ53" s="1114"/>
      <c r="AR53" s="1114"/>
      <c r="AS53" s="1114"/>
      <c r="AT53" s="1114"/>
      <c r="AU53" s="1114"/>
      <c r="AV53" s="1114"/>
      <c r="AW53" s="1114"/>
      <c r="AX53" s="1114"/>
      <c r="AY53" s="1115"/>
      <c r="AZ53" s="1116"/>
      <c r="BA53" s="1116"/>
      <c r="BB53" s="1116"/>
      <c r="BC53" s="1116"/>
      <c r="BD53" s="1116"/>
      <c r="BE53" s="1116"/>
      <c r="BF53" s="1117"/>
    </row>
    <row r="54" spans="1:58" ht="12" customHeight="1" x14ac:dyDescent="0.2">
      <c r="A54" s="1118"/>
      <c r="B54" s="1119"/>
      <c r="C54" s="1119"/>
      <c r="D54" s="1119"/>
      <c r="E54" s="1119"/>
      <c r="F54" s="1119"/>
      <c r="G54" s="1119"/>
      <c r="H54" s="1119"/>
      <c r="I54" s="1119"/>
      <c r="J54" s="1119"/>
      <c r="K54" s="1119"/>
      <c r="L54" s="1119"/>
      <c r="M54" s="1119"/>
      <c r="N54" s="1119"/>
      <c r="O54" s="1119"/>
      <c r="P54" s="1119"/>
      <c r="Q54" s="1119"/>
      <c r="R54" s="1119"/>
      <c r="S54" s="1119"/>
      <c r="T54" s="1119"/>
      <c r="U54" s="1119"/>
      <c r="V54" s="1119"/>
      <c r="W54" s="1120"/>
      <c r="X54" s="1120"/>
      <c r="Y54" s="1120"/>
      <c r="Z54" s="1120"/>
      <c r="AA54" s="1120"/>
      <c r="AB54" s="1120"/>
      <c r="AC54" s="1121"/>
      <c r="AD54" s="1121"/>
      <c r="AE54" s="1121"/>
      <c r="AF54" s="1121"/>
      <c r="AG54" s="1121"/>
      <c r="AH54" s="1121"/>
      <c r="AI54" s="1121"/>
      <c r="AJ54" s="1121"/>
      <c r="AK54" s="1121"/>
      <c r="AL54" s="1121"/>
      <c r="AM54" s="1121"/>
      <c r="AN54" s="1121"/>
      <c r="AO54" s="1121"/>
      <c r="AP54" s="1121"/>
      <c r="AQ54" s="1121"/>
      <c r="AR54" s="1121"/>
      <c r="AS54" s="1121"/>
      <c r="AT54" s="1121"/>
      <c r="AU54" s="1121"/>
      <c r="AV54" s="1121"/>
      <c r="AW54" s="1121"/>
      <c r="AX54" s="1121"/>
      <c r="AY54" s="1122"/>
      <c r="AZ54" s="1123"/>
      <c r="BA54" s="1123"/>
      <c r="BB54" s="1123"/>
      <c r="BC54" s="1123"/>
      <c r="BD54" s="1123"/>
      <c r="BE54" s="1123"/>
      <c r="BF54" s="1124"/>
    </row>
    <row r="55" spans="1:58" ht="12" customHeight="1" x14ac:dyDescent="0.2">
      <c r="A55" s="1111"/>
      <c r="B55" s="1112"/>
      <c r="C55" s="1112"/>
      <c r="D55" s="1112"/>
      <c r="E55" s="1112"/>
      <c r="F55" s="1112"/>
      <c r="G55" s="1112"/>
      <c r="H55" s="1112"/>
      <c r="I55" s="1112"/>
      <c r="J55" s="1112"/>
      <c r="K55" s="1112"/>
      <c r="L55" s="1112"/>
      <c r="M55" s="1112"/>
      <c r="N55" s="1112"/>
      <c r="O55" s="1112"/>
      <c r="P55" s="1112"/>
      <c r="Q55" s="1112"/>
      <c r="R55" s="1112"/>
      <c r="S55" s="1112"/>
      <c r="T55" s="1112"/>
      <c r="U55" s="1112"/>
      <c r="V55" s="1112"/>
      <c r="W55" s="1113"/>
      <c r="X55" s="1113"/>
      <c r="Y55" s="1113"/>
      <c r="Z55" s="1113"/>
      <c r="AA55" s="1113"/>
      <c r="AB55" s="1113"/>
      <c r="AC55" s="1114"/>
      <c r="AD55" s="1114"/>
      <c r="AE55" s="1114"/>
      <c r="AF55" s="1114"/>
      <c r="AG55" s="1114"/>
      <c r="AH55" s="1114"/>
      <c r="AI55" s="1114"/>
      <c r="AJ55" s="1114"/>
      <c r="AK55" s="1114"/>
      <c r="AL55" s="1114"/>
      <c r="AM55" s="1114"/>
      <c r="AN55" s="1114"/>
      <c r="AO55" s="1114"/>
      <c r="AP55" s="1114"/>
      <c r="AQ55" s="1114"/>
      <c r="AR55" s="1114"/>
      <c r="AS55" s="1114"/>
      <c r="AT55" s="1114"/>
      <c r="AU55" s="1114"/>
      <c r="AV55" s="1114"/>
      <c r="AW55" s="1114"/>
      <c r="AX55" s="1114"/>
      <c r="AY55" s="1115"/>
      <c r="AZ55" s="1116"/>
      <c r="BA55" s="1116"/>
      <c r="BB55" s="1116"/>
      <c r="BC55" s="1116"/>
      <c r="BD55" s="1116"/>
      <c r="BE55" s="1116"/>
      <c r="BF55" s="1117"/>
    </row>
    <row r="56" spans="1:58" ht="12" customHeight="1" x14ac:dyDescent="0.2">
      <c r="A56" s="1118"/>
      <c r="B56" s="1119"/>
      <c r="C56" s="1119"/>
      <c r="D56" s="1119"/>
      <c r="E56" s="1119"/>
      <c r="F56" s="1119"/>
      <c r="G56" s="1119"/>
      <c r="H56" s="1119"/>
      <c r="I56" s="1119"/>
      <c r="J56" s="1119"/>
      <c r="K56" s="1119"/>
      <c r="L56" s="1119"/>
      <c r="M56" s="1119"/>
      <c r="N56" s="1119"/>
      <c r="O56" s="1119"/>
      <c r="P56" s="1119"/>
      <c r="Q56" s="1119"/>
      <c r="R56" s="1119"/>
      <c r="S56" s="1119"/>
      <c r="T56" s="1119"/>
      <c r="U56" s="1119"/>
      <c r="V56" s="1119"/>
      <c r="W56" s="1120"/>
      <c r="X56" s="1120"/>
      <c r="Y56" s="1120"/>
      <c r="Z56" s="1120"/>
      <c r="AA56" s="1120"/>
      <c r="AB56" s="1120"/>
      <c r="AC56" s="1121"/>
      <c r="AD56" s="1121"/>
      <c r="AE56" s="1121"/>
      <c r="AF56" s="1121"/>
      <c r="AG56" s="1121"/>
      <c r="AH56" s="1121"/>
      <c r="AI56" s="1121"/>
      <c r="AJ56" s="1121"/>
      <c r="AK56" s="1121"/>
      <c r="AL56" s="1121"/>
      <c r="AM56" s="1121"/>
      <c r="AN56" s="1121"/>
      <c r="AO56" s="1121"/>
      <c r="AP56" s="1121"/>
      <c r="AQ56" s="1121"/>
      <c r="AR56" s="1121"/>
      <c r="AS56" s="1121"/>
      <c r="AT56" s="1121"/>
      <c r="AU56" s="1121"/>
      <c r="AV56" s="1121"/>
      <c r="AW56" s="1121"/>
      <c r="AX56" s="1121"/>
      <c r="AY56" s="1122"/>
      <c r="AZ56" s="1123"/>
      <c r="BA56" s="1123"/>
      <c r="BB56" s="1123"/>
      <c r="BC56" s="1123"/>
      <c r="BD56" s="1123"/>
      <c r="BE56" s="1123"/>
      <c r="BF56" s="1124"/>
    </row>
    <row r="57" spans="1:58" ht="12" customHeight="1" x14ac:dyDescent="0.2">
      <c r="A57" s="1111"/>
      <c r="B57" s="1112"/>
      <c r="C57" s="1112"/>
      <c r="D57" s="1112"/>
      <c r="E57" s="1112"/>
      <c r="F57" s="1112"/>
      <c r="G57" s="1112"/>
      <c r="H57" s="1112"/>
      <c r="I57" s="1112"/>
      <c r="J57" s="1112"/>
      <c r="K57" s="1112"/>
      <c r="L57" s="1112"/>
      <c r="M57" s="1112"/>
      <c r="N57" s="1112"/>
      <c r="O57" s="1112"/>
      <c r="P57" s="1112"/>
      <c r="Q57" s="1112"/>
      <c r="R57" s="1112"/>
      <c r="S57" s="1112"/>
      <c r="T57" s="1112"/>
      <c r="U57" s="1112"/>
      <c r="V57" s="1112"/>
      <c r="W57" s="1113"/>
      <c r="X57" s="1113"/>
      <c r="Y57" s="1113"/>
      <c r="Z57" s="1113"/>
      <c r="AA57" s="1113"/>
      <c r="AB57" s="1113"/>
      <c r="AC57" s="1114"/>
      <c r="AD57" s="1114"/>
      <c r="AE57" s="1114"/>
      <c r="AF57" s="1114"/>
      <c r="AG57" s="1114"/>
      <c r="AH57" s="1114"/>
      <c r="AI57" s="1114"/>
      <c r="AJ57" s="1114"/>
      <c r="AK57" s="1114"/>
      <c r="AL57" s="1114"/>
      <c r="AM57" s="1114"/>
      <c r="AN57" s="1114"/>
      <c r="AO57" s="1114"/>
      <c r="AP57" s="1114"/>
      <c r="AQ57" s="1114"/>
      <c r="AR57" s="1114"/>
      <c r="AS57" s="1114"/>
      <c r="AT57" s="1114"/>
      <c r="AU57" s="1114"/>
      <c r="AV57" s="1114"/>
      <c r="AW57" s="1114"/>
      <c r="AX57" s="1114"/>
      <c r="AY57" s="1115"/>
      <c r="AZ57" s="1116"/>
      <c r="BA57" s="1116"/>
      <c r="BB57" s="1116"/>
      <c r="BC57" s="1116"/>
      <c r="BD57" s="1116"/>
      <c r="BE57" s="1116"/>
      <c r="BF57" s="1117"/>
    </row>
    <row r="58" spans="1:58" ht="12" customHeight="1" x14ac:dyDescent="0.2">
      <c r="A58" s="1118"/>
      <c r="B58" s="1119"/>
      <c r="C58" s="1119"/>
      <c r="D58" s="1119"/>
      <c r="E58" s="1119"/>
      <c r="F58" s="1119"/>
      <c r="G58" s="1119"/>
      <c r="H58" s="1119"/>
      <c r="I58" s="1119"/>
      <c r="J58" s="1119"/>
      <c r="K58" s="1119"/>
      <c r="L58" s="1119"/>
      <c r="M58" s="1119"/>
      <c r="N58" s="1119"/>
      <c r="O58" s="1119"/>
      <c r="P58" s="1119"/>
      <c r="Q58" s="1119"/>
      <c r="R58" s="1119"/>
      <c r="S58" s="1119"/>
      <c r="T58" s="1119"/>
      <c r="U58" s="1119"/>
      <c r="V58" s="1119"/>
      <c r="W58" s="1120"/>
      <c r="X58" s="1120"/>
      <c r="Y58" s="1120"/>
      <c r="Z58" s="1120"/>
      <c r="AA58" s="1120"/>
      <c r="AB58" s="1120"/>
      <c r="AC58" s="1121"/>
      <c r="AD58" s="1121"/>
      <c r="AE58" s="1121"/>
      <c r="AF58" s="1121"/>
      <c r="AG58" s="1121"/>
      <c r="AH58" s="1121"/>
      <c r="AI58" s="1121"/>
      <c r="AJ58" s="1121"/>
      <c r="AK58" s="1121"/>
      <c r="AL58" s="1121"/>
      <c r="AM58" s="1121"/>
      <c r="AN58" s="1121"/>
      <c r="AO58" s="1121"/>
      <c r="AP58" s="1121"/>
      <c r="AQ58" s="1121"/>
      <c r="AR58" s="1121"/>
      <c r="AS58" s="1121"/>
      <c r="AT58" s="1121"/>
      <c r="AU58" s="1121"/>
      <c r="AV58" s="1121"/>
      <c r="AW58" s="1121"/>
      <c r="AX58" s="1121"/>
      <c r="AY58" s="1122"/>
      <c r="AZ58" s="1123"/>
      <c r="BA58" s="1123"/>
      <c r="BB58" s="1123"/>
      <c r="BC58" s="1123"/>
      <c r="BD58" s="1123"/>
      <c r="BE58" s="1123"/>
      <c r="BF58" s="1124"/>
    </row>
    <row r="59" spans="1:58" ht="12" customHeight="1" x14ac:dyDescent="0.2">
      <c r="A59" s="1111"/>
      <c r="B59" s="1112"/>
      <c r="C59" s="1112"/>
      <c r="D59" s="1112"/>
      <c r="E59" s="1112"/>
      <c r="F59" s="1112"/>
      <c r="G59" s="1112"/>
      <c r="H59" s="1112"/>
      <c r="I59" s="1112"/>
      <c r="J59" s="1112"/>
      <c r="K59" s="1112"/>
      <c r="L59" s="1112"/>
      <c r="M59" s="1112"/>
      <c r="N59" s="1112"/>
      <c r="O59" s="1112"/>
      <c r="P59" s="1112"/>
      <c r="Q59" s="1112"/>
      <c r="R59" s="1112"/>
      <c r="S59" s="1112"/>
      <c r="T59" s="1112"/>
      <c r="U59" s="1112"/>
      <c r="V59" s="1112"/>
      <c r="W59" s="1113"/>
      <c r="X59" s="1113"/>
      <c r="Y59" s="1113"/>
      <c r="Z59" s="1113"/>
      <c r="AA59" s="1113"/>
      <c r="AB59" s="1113"/>
      <c r="AC59" s="1114"/>
      <c r="AD59" s="1114"/>
      <c r="AE59" s="1114"/>
      <c r="AF59" s="1114"/>
      <c r="AG59" s="1114"/>
      <c r="AH59" s="1114"/>
      <c r="AI59" s="1114"/>
      <c r="AJ59" s="1114"/>
      <c r="AK59" s="1114"/>
      <c r="AL59" s="1114"/>
      <c r="AM59" s="1114"/>
      <c r="AN59" s="1114"/>
      <c r="AO59" s="1114"/>
      <c r="AP59" s="1114"/>
      <c r="AQ59" s="1114"/>
      <c r="AR59" s="1114"/>
      <c r="AS59" s="1114"/>
      <c r="AT59" s="1114"/>
      <c r="AU59" s="1114"/>
      <c r="AV59" s="1114"/>
      <c r="AW59" s="1114"/>
      <c r="AX59" s="1114"/>
      <c r="AY59" s="1115"/>
      <c r="AZ59" s="1116"/>
      <c r="BA59" s="1116"/>
      <c r="BB59" s="1116"/>
      <c r="BC59" s="1116"/>
      <c r="BD59" s="1116"/>
      <c r="BE59" s="1116"/>
      <c r="BF59" s="1117"/>
    </row>
    <row r="60" spans="1:58" ht="12" customHeight="1" x14ac:dyDescent="0.2">
      <c r="A60" s="1118"/>
      <c r="B60" s="1119"/>
      <c r="C60" s="1119"/>
      <c r="D60" s="1119"/>
      <c r="E60" s="1119"/>
      <c r="F60" s="1119"/>
      <c r="G60" s="1119"/>
      <c r="H60" s="1119"/>
      <c r="I60" s="1119"/>
      <c r="J60" s="1119"/>
      <c r="K60" s="1119"/>
      <c r="L60" s="1119"/>
      <c r="M60" s="1119"/>
      <c r="N60" s="1119"/>
      <c r="O60" s="1119"/>
      <c r="P60" s="1119"/>
      <c r="Q60" s="1119"/>
      <c r="R60" s="1119"/>
      <c r="S60" s="1119"/>
      <c r="T60" s="1119"/>
      <c r="U60" s="1119"/>
      <c r="V60" s="1119"/>
      <c r="W60" s="1120"/>
      <c r="X60" s="1120"/>
      <c r="Y60" s="1120"/>
      <c r="Z60" s="1120"/>
      <c r="AA60" s="1120"/>
      <c r="AB60" s="1120"/>
      <c r="AC60" s="1121"/>
      <c r="AD60" s="1121"/>
      <c r="AE60" s="1121"/>
      <c r="AF60" s="1121"/>
      <c r="AG60" s="1121"/>
      <c r="AH60" s="1121"/>
      <c r="AI60" s="1121"/>
      <c r="AJ60" s="1121"/>
      <c r="AK60" s="1121"/>
      <c r="AL60" s="1121"/>
      <c r="AM60" s="1121"/>
      <c r="AN60" s="1121"/>
      <c r="AO60" s="1121"/>
      <c r="AP60" s="1121"/>
      <c r="AQ60" s="1121"/>
      <c r="AR60" s="1121"/>
      <c r="AS60" s="1121"/>
      <c r="AT60" s="1121"/>
      <c r="AU60" s="1121"/>
      <c r="AV60" s="1121"/>
      <c r="AW60" s="1121"/>
      <c r="AX60" s="1121"/>
      <c r="AY60" s="1122"/>
      <c r="AZ60" s="1123"/>
      <c r="BA60" s="1123"/>
      <c r="BB60" s="1123"/>
      <c r="BC60" s="1123"/>
      <c r="BD60" s="1123"/>
      <c r="BE60" s="1123"/>
      <c r="BF60" s="1124"/>
    </row>
    <row r="61" spans="1:58" ht="12" customHeight="1" x14ac:dyDescent="0.2">
      <c r="A61" s="1111"/>
      <c r="B61" s="1112"/>
      <c r="C61" s="1112"/>
      <c r="D61" s="1112"/>
      <c r="E61" s="1112"/>
      <c r="F61" s="1112"/>
      <c r="G61" s="1112"/>
      <c r="H61" s="1112"/>
      <c r="I61" s="1112"/>
      <c r="J61" s="1112"/>
      <c r="K61" s="1112"/>
      <c r="L61" s="1112"/>
      <c r="M61" s="1112"/>
      <c r="N61" s="1112"/>
      <c r="O61" s="1112"/>
      <c r="P61" s="1112"/>
      <c r="Q61" s="1112"/>
      <c r="R61" s="1112"/>
      <c r="S61" s="1112"/>
      <c r="T61" s="1112"/>
      <c r="U61" s="1112"/>
      <c r="V61" s="1112"/>
      <c r="W61" s="1113"/>
      <c r="X61" s="1113"/>
      <c r="Y61" s="1113"/>
      <c r="Z61" s="1113"/>
      <c r="AA61" s="1113"/>
      <c r="AB61" s="1113"/>
      <c r="AC61" s="1114"/>
      <c r="AD61" s="1114"/>
      <c r="AE61" s="1114"/>
      <c r="AF61" s="1114"/>
      <c r="AG61" s="1114"/>
      <c r="AH61" s="1114"/>
      <c r="AI61" s="1114"/>
      <c r="AJ61" s="1114"/>
      <c r="AK61" s="1114"/>
      <c r="AL61" s="1114"/>
      <c r="AM61" s="1114"/>
      <c r="AN61" s="1114"/>
      <c r="AO61" s="1114"/>
      <c r="AP61" s="1114"/>
      <c r="AQ61" s="1114"/>
      <c r="AR61" s="1114"/>
      <c r="AS61" s="1114"/>
      <c r="AT61" s="1114"/>
      <c r="AU61" s="1114"/>
      <c r="AV61" s="1114"/>
      <c r="AW61" s="1114"/>
      <c r="AX61" s="1114"/>
      <c r="AY61" s="1115"/>
      <c r="AZ61" s="1116"/>
      <c r="BA61" s="1116"/>
      <c r="BB61" s="1116"/>
      <c r="BC61" s="1116"/>
      <c r="BD61" s="1116"/>
      <c r="BE61" s="1116"/>
      <c r="BF61" s="1117"/>
    </row>
    <row r="62" spans="1:58" ht="12" customHeight="1" x14ac:dyDescent="0.2">
      <c r="A62" s="1118"/>
      <c r="B62" s="1119"/>
      <c r="C62" s="1119"/>
      <c r="D62" s="1119"/>
      <c r="E62" s="1119"/>
      <c r="F62" s="1119"/>
      <c r="G62" s="1119"/>
      <c r="H62" s="1119"/>
      <c r="I62" s="1119"/>
      <c r="J62" s="1119"/>
      <c r="K62" s="1119"/>
      <c r="L62" s="1119"/>
      <c r="M62" s="1119"/>
      <c r="N62" s="1119"/>
      <c r="O62" s="1119"/>
      <c r="P62" s="1119"/>
      <c r="Q62" s="1119"/>
      <c r="R62" s="1119"/>
      <c r="S62" s="1119"/>
      <c r="T62" s="1119"/>
      <c r="U62" s="1119"/>
      <c r="V62" s="1119"/>
      <c r="W62" s="1120"/>
      <c r="X62" s="1120"/>
      <c r="Y62" s="1120"/>
      <c r="Z62" s="1120"/>
      <c r="AA62" s="1120"/>
      <c r="AB62" s="1120"/>
      <c r="AC62" s="1121"/>
      <c r="AD62" s="1121"/>
      <c r="AE62" s="1121"/>
      <c r="AF62" s="1121"/>
      <c r="AG62" s="1121"/>
      <c r="AH62" s="1121"/>
      <c r="AI62" s="1121"/>
      <c r="AJ62" s="1121"/>
      <c r="AK62" s="1121"/>
      <c r="AL62" s="1121"/>
      <c r="AM62" s="1121"/>
      <c r="AN62" s="1121"/>
      <c r="AO62" s="1121"/>
      <c r="AP62" s="1121"/>
      <c r="AQ62" s="1121"/>
      <c r="AR62" s="1121"/>
      <c r="AS62" s="1121"/>
      <c r="AT62" s="1121"/>
      <c r="AU62" s="1121"/>
      <c r="AV62" s="1121"/>
      <c r="AW62" s="1121"/>
      <c r="AX62" s="1121"/>
      <c r="AY62" s="1122"/>
      <c r="AZ62" s="1123"/>
      <c r="BA62" s="1123"/>
      <c r="BB62" s="1123"/>
      <c r="BC62" s="1123"/>
      <c r="BD62" s="1123"/>
      <c r="BE62" s="1123"/>
      <c r="BF62" s="1124"/>
    </row>
    <row r="63" spans="1:58" ht="12" customHeight="1" x14ac:dyDescent="0.2">
      <c r="A63" s="1111"/>
      <c r="B63" s="1112"/>
      <c r="C63" s="1112"/>
      <c r="D63" s="1112"/>
      <c r="E63" s="1112"/>
      <c r="F63" s="1112"/>
      <c r="G63" s="1112"/>
      <c r="H63" s="1112"/>
      <c r="I63" s="1112"/>
      <c r="J63" s="1112"/>
      <c r="K63" s="1112"/>
      <c r="L63" s="1112"/>
      <c r="M63" s="1112"/>
      <c r="N63" s="1112"/>
      <c r="O63" s="1112"/>
      <c r="P63" s="1112"/>
      <c r="Q63" s="1112"/>
      <c r="R63" s="1112"/>
      <c r="S63" s="1112"/>
      <c r="T63" s="1112"/>
      <c r="U63" s="1112"/>
      <c r="V63" s="1112"/>
      <c r="W63" s="1113"/>
      <c r="X63" s="1113"/>
      <c r="Y63" s="1113"/>
      <c r="Z63" s="1113"/>
      <c r="AA63" s="1113"/>
      <c r="AB63" s="1113"/>
      <c r="AC63" s="1114"/>
      <c r="AD63" s="1114"/>
      <c r="AE63" s="1114"/>
      <c r="AF63" s="1114"/>
      <c r="AG63" s="1114"/>
      <c r="AH63" s="1114"/>
      <c r="AI63" s="1114"/>
      <c r="AJ63" s="1114"/>
      <c r="AK63" s="1114"/>
      <c r="AL63" s="1114"/>
      <c r="AM63" s="1114"/>
      <c r="AN63" s="1114"/>
      <c r="AO63" s="1114"/>
      <c r="AP63" s="1114"/>
      <c r="AQ63" s="1114"/>
      <c r="AR63" s="1114"/>
      <c r="AS63" s="1114"/>
      <c r="AT63" s="1114"/>
      <c r="AU63" s="1114"/>
      <c r="AV63" s="1114"/>
      <c r="AW63" s="1114"/>
      <c r="AX63" s="1114"/>
      <c r="AY63" s="1115"/>
      <c r="AZ63" s="1116"/>
      <c r="BA63" s="1116"/>
      <c r="BB63" s="1116"/>
      <c r="BC63" s="1116"/>
      <c r="BD63" s="1116"/>
      <c r="BE63" s="1116"/>
      <c r="BF63" s="1117"/>
    </row>
    <row r="64" spans="1:58" ht="12" customHeight="1" x14ac:dyDescent="0.2">
      <c r="A64" s="1118"/>
      <c r="B64" s="1119"/>
      <c r="C64" s="1119"/>
      <c r="D64" s="1119"/>
      <c r="E64" s="1119"/>
      <c r="F64" s="1119"/>
      <c r="G64" s="1119"/>
      <c r="H64" s="1119"/>
      <c r="I64" s="1119"/>
      <c r="J64" s="1119"/>
      <c r="K64" s="1119"/>
      <c r="L64" s="1119"/>
      <c r="M64" s="1119"/>
      <c r="N64" s="1119"/>
      <c r="O64" s="1119"/>
      <c r="P64" s="1119"/>
      <c r="Q64" s="1119"/>
      <c r="R64" s="1119"/>
      <c r="S64" s="1119"/>
      <c r="T64" s="1119"/>
      <c r="U64" s="1119"/>
      <c r="V64" s="1119"/>
      <c r="W64" s="1120"/>
      <c r="X64" s="1120"/>
      <c r="Y64" s="1120"/>
      <c r="Z64" s="1120"/>
      <c r="AA64" s="1120"/>
      <c r="AB64" s="1120"/>
      <c r="AC64" s="1121"/>
      <c r="AD64" s="1121"/>
      <c r="AE64" s="1121"/>
      <c r="AF64" s="1121"/>
      <c r="AG64" s="1121"/>
      <c r="AH64" s="1121"/>
      <c r="AI64" s="1121"/>
      <c r="AJ64" s="1121"/>
      <c r="AK64" s="1121"/>
      <c r="AL64" s="1121"/>
      <c r="AM64" s="1121"/>
      <c r="AN64" s="1121"/>
      <c r="AO64" s="1121"/>
      <c r="AP64" s="1121"/>
      <c r="AQ64" s="1121"/>
      <c r="AR64" s="1121"/>
      <c r="AS64" s="1121"/>
      <c r="AT64" s="1121"/>
      <c r="AU64" s="1121"/>
      <c r="AV64" s="1121"/>
      <c r="AW64" s="1121"/>
      <c r="AX64" s="1121"/>
      <c r="AY64" s="1122"/>
      <c r="AZ64" s="1123"/>
      <c r="BA64" s="1123"/>
      <c r="BB64" s="1123"/>
      <c r="BC64" s="1123"/>
      <c r="BD64" s="1123"/>
      <c r="BE64" s="1123"/>
      <c r="BF64" s="1124"/>
    </row>
    <row r="65" spans="1:59" ht="12" customHeight="1" x14ac:dyDescent="0.2">
      <c r="A65" s="1111"/>
      <c r="B65" s="1112"/>
      <c r="C65" s="1112"/>
      <c r="D65" s="1112"/>
      <c r="E65" s="1112"/>
      <c r="F65" s="1112"/>
      <c r="G65" s="1112"/>
      <c r="H65" s="1112"/>
      <c r="I65" s="1112"/>
      <c r="J65" s="1112"/>
      <c r="K65" s="1112"/>
      <c r="L65" s="1112"/>
      <c r="M65" s="1112"/>
      <c r="N65" s="1112"/>
      <c r="O65" s="1112"/>
      <c r="P65" s="1112"/>
      <c r="Q65" s="1112"/>
      <c r="R65" s="1112"/>
      <c r="S65" s="1112"/>
      <c r="T65" s="1112"/>
      <c r="U65" s="1112"/>
      <c r="V65" s="1112"/>
      <c r="W65" s="1113"/>
      <c r="X65" s="1113"/>
      <c r="Y65" s="1113"/>
      <c r="Z65" s="1113"/>
      <c r="AA65" s="1113"/>
      <c r="AB65" s="1113"/>
      <c r="AC65" s="1114"/>
      <c r="AD65" s="1114"/>
      <c r="AE65" s="1114"/>
      <c r="AF65" s="1114"/>
      <c r="AG65" s="1114"/>
      <c r="AH65" s="1114"/>
      <c r="AI65" s="1114"/>
      <c r="AJ65" s="1114"/>
      <c r="AK65" s="1114"/>
      <c r="AL65" s="1114"/>
      <c r="AM65" s="1114"/>
      <c r="AN65" s="1114"/>
      <c r="AO65" s="1114"/>
      <c r="AP65" s="1114"/>
      <c r="AQ65" s="1114"/>
      <c r="AR65" s="1114"/>
      <c r="AS65" s="1114"/>
      <c r="AT65" s="1114"/>
      <c r="AU65" s="1114"/>
      <c r="AV65" s="1114"/>
      <c r="AW65" s="1114"/>
      <c r="AX65" s="1114"/>
      <c r="AY65" s="1115"/>
      <c r="AZ65" s="1116"/>
      <c r="BA65" s="1116"/>
      <c r="BB65" s="1116"/>
      <c r="BC65" s="1116"/>
      <c r="BD65" s="1116"/>
      <c r="BE65" s="1116"/>
      <c r="BF65" s="1117"/>
    </row>
    <row r="66" spans="1:59" ht="12" customHeight="1" x14ac:dyDescent="0.2">
      <c r="A66" s="1118"/>
      <c r="B66" s="1119"/>
      <c r="C66" s="1119"/>
      <c r="D66" s="1119"/>
      <c r="E66" s="1119"/>
      <c r="F66" s="1119"/>
      <c r="G66" s="1119"/>
      <c r="H66" s="1119"/>
      <c r="I66" s="1119"/>
      <c r="J66" s="1119"/>
      <c r="K66" s="1119"/>
      <c r="L66" s="1119"/>
      <c r="M66" s="1119"/>
      <c r="N66" s="1119"/>
      <c r="O66" s="1119"/>
      <c r="P66" s="1119"/>
      <c r="Q66" s="1119"/>
      <c r="R66" s="1119"/>
      <c r="S66" s="1119"/>
      <c r="T66" s="1119"/>
      <c r="U66" s="1119"/>
      <c r="V66" s="1119"/>
      <c r="W66" s="1120"/>
      <c r="X66" s="1120"/>
      <c r="Y66" s="1120"/>
      <c r="Z66" s="1120"/>
      <c r="AA66" s="1120"/>
      <c r="AB66" s="1120"/>
      <c r="AC66" s="1121"/>
      <c r="AD66" s="1121"/>
      <c r="AE66" s="1121"/>
      <c r="AF66" s="1121"/>
      <c r="AG66" s="1121"/>
      <c r="AH66" s="1121"/>
      <c r="AI66" s="1121"/>
      <c r="AJ66" s="1121"/>
      <c r="AK66" s="1121"/>
      <c r="AL66" s="1121"/>
      <c r="AM66" s="1121"/>
      <c r="AN66" s="1121"/>
      <c r="AO66" s="1121"/>
      <c r="AP66" s="1121"/>
      <c r="AQ66" s="1121"/>
      <c r="AR66" s="1121"/>
      <c r="AS66" s="1121"/>
      <c r="AT66" s="1121"/>
      <c r="AU66" s="1121"/>
      <c r="AV66" s="1121"/>
      <c r="AW66" s="1121"/>
      <c r="AX66" s="1121"/>
      <c r="AY66" s="1122"/>
      <c r="AZ66" s="1123"/>
      <c r="BA66" s="1123"/>
      <c r="BB66" s="1123"/>
      <c r="BC66" s="1123"/>
      <c r="BD66" s="1123"/>
      <c r="BE66" s="1123"/>
      <c r="BF66" s="1124"/>
    </row>
    <row r="67" spans="1:59" ht="12" customHeight="1" x14ac:dyDescent="0.2">
      <c r="A67" s="1111"/>
      <c r="B67" s="1112"/>
      <c r="C67" s="1112"/>
      <c r="D67" s="1112"/>
      <c r="E67" s="1112"/>
      <c r="F67" s="1112"/>
      <c r="G67" s="1112"/>
      <c r="H67" s="1112"/>
      <c r="I67" s="1112"/>
      <c r="J67" s="1112"/>
      <c r="K67" s="1112"/>
      <c r="L67" s="1112"/>
      <c r="M67" s="1112"/>
      <c r="N67" s="1112"/>
      <c r="O67" s="1112"/>
      <c r="P67" s="1112"/>
      <c r="Q67" s="1112"/>
      <c r="R67" s="1112"/>
      <c r="S67" s="1112"/>
      <c r="T67" s="1112"/>
      <c r="U67" s="1112"/>
      <c r="V67" s="1112"/>
      <c r="W67" s="1113"/>
      <c r="X67" s="1113"/>
      <c r="Y67" s="1113"/>
      <c r="Z67" s="1113"/>
      <c r="AA67" s="1113"/>
      <c r="AB67" s="1113"/>
      <c r="AC67" s="1114"/>
      <c r="AD67" s="1114"/>
      <c r="AE67" s="1114"/>
      <c r="AF67" s="1114"/>
      <c r="AG67" s="1114"/>
      <c r="AH67" s="1114"/>
      <c r="AI67" s="1114"/>
      <c r="AJ67" s="1114"/>
      <c r="AK67" s="1114"/>
      <c r="AL67" s="1114"/>
      <c r="AM67" s="1114"/>
      <c r="AN67" s="1114"/>
      <c r="AO67" s="1114"/>
      <c r="AP67" s="1114"/>
      <c r="AQ67" s="1114"/>
      <c r="AR67" s="1114"/>
      <c r="AS67" s="1114"/>
      <c r="AT67" s="1114"/>
      <c r="AU67" s="1114"/>
      <c r="AV67" s="1114"/>
      <c r="AW67" s="1114"/>
      <c r="AX67" s="1114"/>
      <c r="AY67" s="1115"/>
      <c r="AZ67" s="1116"/>
      <c r="BA67" s="1116"/>
      <c r="BB67" s="1116"/>
      <c r="BC67" s="1116"/>
      <c r="BD67" s="1116"/>
      <c r="BE67" s="1116"/>
      <c r="BF67" s="1117"/>
    </row>
    <row r="68" spans="1:59" ht="12" customHeight="1" x14ac:dyDescent="0.2">
      <c r="A68" s="1118" t="s">
        <v>1288</v>
      </c>
      <c r="B68" s="1119"/>
      <c r="C68" s="1119"/>
      <c r="D68" s="1119"/>
      <c r="E68" s="1119"/>
      <c r="F68" s="1119"/>
      <c r="G68" s="1119"/>
      <c r="H68" s="1119"/>
      <c r="I68" s="1119"/>
      <c r="J68" s="1119"/>
      <c r="K68" s="1119"/>
      <c r="L68" s="1119"/>
      <c r="M68" s="1119"/>
      <c r="N68" s="1119"/>
      <c r="O68" s="1119"/>
      <c r="P68" s="1119"/>
      <c r="Q68" s="1119"/>
      <c r="R68" s="1119"/>
      <c r="S68" s="1119"/>
      <c r="T68" s="1119"/>
      <c r="U68" s="1119"/>
      <c r="V68" s="1119"/>
      <c r="W68" s="1120"/>
      <c r="X68" s="1120"/>
      <c r="Y68" s="1120"/>
      <c r="Z68" s="1120"/>
      <c r="AA68" s="1120"/>
      <c r="AB68" s="1120"/>
      <c r="AC68" s="1121"/>
      <c r="AD68" s="1121"/>
      <c r="AE68" s="1121"/>
      <c r="AF68" s="1121"/>
      <c r="AG68" s="1121"/>
      <c r="AH68" s="1121"/>
      <c r="AI68" s="1121"/>
      <c r="AJ68" s="1121"/>
      <c r="AK68" s="1121"/>
      <c r="AL68" s="1121"/>
      <c r="AM68" s="1121"/>
      <c r="AN68" s="1121"/>
      <c r="AO68" s="1121"/>
      <c r="AP68" s="1121"/>
      <c r="AQ68" s="1121"/>
      <c r="AR68" s="1121"/>
      <c r="AS68" s="1121"/>
      <c r="AT68" s="1121"/>
      <c r="AU68" s="1121"/>
      <c r="AV68" s="1121"/>
      <c r="AW68" s="1121"/>
      <c r="AX68" s="1121"/>
      <c r="AY68" s="1122"/>
      <c r="AZ68" s="1123"/>
      <c r="BA68" s="1123"/>
      <c r="BB68" s="1123"/>
      <c r="BC68" s="1123"/>
      <c r="BD68" s="1123"/>
      <c r="BE68" s="1123"/>
      <c r="BF68" s="1124"/>
      <c r="BG68" s="340"/>
    </row>
    <row r="69" spans="1:59" ht="12" customHeight="1" x14ac:dyDescent="0.2">
      <c r="A69" s="1111"/>
      <c r="B69" s="1112"/>
      <c r="C69" s="1112"/>
      <c r="D69" s="1112"/>
      <c r="E69" s="1112"/>
      <c r="F69" s="1112"/>
      <c r="G69" s="1112"/>
      <c r="H69" s="1112"/>
      <c r="I69" s="1112"/>
      <c r="J69" s="1112"/>
      <c r="K69" s="1112"/>
      <c r="L69" s="1112"/>
      <c r="M69" s="1112"/>
      <c r="N69" s="1112"/>
      <c r="O69" s="1112"/>
      <c r="P69" s="1112"/>
      <c r="Q69" s="1112"/>
      <c r="R69" s="1112"/>
      <c r="S69" s="1112"/>
      <c r="T69" s="1112"/>
      <c r="U69" s="1112"/>
      <c r="V69" s="1112"/>
      <c r="W69" s="1113"/>
      <c r="X69" s="1113"/>
      <c r="Y69" s="1113"/>
      <c r="Z69" s="1113"/>
      <c r="AA69" s="1113"/>
      <c r="AB69" s="1113"/>
      <c r="AC69" s="1114"/>
      <c r="AD69" s="1114"/>
      <c r="AE69" s="1114"/>
      <c r="AF69" s="1114"/>
      <c r="AG69" s="1114"/>
      <c r="AH69" s="1114"/>
      <c r="AI69" s="1114"/>
      <c r="AJ69" s="1114"/>
      <c r="AK69" s="1114"/>
      <c r="AL69" s="1114"/>
      <c r="AM69" s="1114"/>
      <c r="AN69" s="1114"/>
      <c r="AO69" s="1114"/>
      <c r="AP69" s="1114"/>
      <c r="AQ69" s="1114"/>
      <c r="AR69" s="1114"/>
      <c r="AS69" s="1114"/>
      <c r="AT69" s="1114"/>
      <c r="AU69" s="1114"/>
      <c r="AV69" s="1114"/>
      <c r="AW69" s="1114"/>
      <c r="AX69" s="1114"/>
      <c r="AY69" s="1115"/>
      <c r="AZ69" s="1116"/>
      <c r="BA69" s="1116"/>
      <c r="BB69" s="1116"/>
      <c r="BC69" s="1116"/>
      <c r="BD69" s="1116"/>
      <c r="BE69" s="1116"/>
      <c r="BF69" s="1117"/>
      <c r="BG69" s="340"/>
    </row>
    <row r="70" spans="1:59" ht="12" customHeight="1" x14ac:dyDescent="0.2">
      <c r="A70" s="1118"/>
      <c r="B70" s="1119"/>
      <c r="C70" s="1119"/>
      <c r="D70" s="1119"/>
      <c r="E70" s="1119"/>
      <c r="F70" s="1119"/>
      <c r="G70" s="1119"/>
      <c r="H70" s="1119"/>
      <c r="I70" s="1119"/>
      <c r="J70" s="1119"/>
      <c r="K70" s="1119"/>
      <c r="L70" s="1119"/>
      <c r="M70" s="1119"/>
      <c r="N70" s="1119"/>
      <c r="O70" s="1119"/>
      <c r="P70" s="1119"/>
      <c r="Q70" s="1119"/>
      <c r="R70" s="1119"/>
      <c r="S70" s="1119"/>
      <c r="T70" s="1119"/>
      <c r="U70" s="1119"/>
      <c r="V70" s="1119"/>
      <c r="W70" s="1120"/>
      <c r="X70" s="1120"/>
      <c r="Y70" s="1120"/>
      <c r="Z70" s="1120"/>
      <c r="AA70" s="1120"/>
      <c r="AB70" s="1120"/>
      <c r="AC70" s="1121"/>
      <c r="AD70" s="1121"/>
      <c r="AE70" s="1121"/>
      <c r="AF70" s="1121"/>
      <c r="AG70" s="1121"/>
      <c r="AH70" s="1121"/>
      <c r="AI70" s="1121"/>
      <c r="AJ70" s="1121"/>
      <c r="AK70" s="1121"/>
      <c r="AL70" s="1121"/>
      <c r="AM70" s="1121"/>
      <c r="AN70" s="1121"/>
      <c r="AO70" s="1121"/>
      <c r="AP70" s="1121"/>
      <c r="AQ70" s="1121"/>
      <c r="AR70" s="1121"/>
      <c r="AS70" s="1121"/>
      <c r="AT70" s="1121"/>
      <c r="AU70" s="1121"/>
      <c r="AV70" s="1121"/>
      <c r="AW70" s="1121"/>
      <c r="AX70" s="1121"/>
      <c r="AY70" s="1122"/>
      <c r="AZ70" s="1123"/>
      <c r="BA70" s="1123"/>
      <c r="BB70" s="1123"/>
      <c r="BC70" s="1123"/>
      <c r="BD70" s="1123"/>
      <c r="BE70" s="1123"/>
      <c r="BF70" s="1124"/>
      <c r="BG70" s="340"/>
    </row>
    <row r="71" spans="1:59" ht="12" customHeight="1" x14ac:dyDescent="0.2">
      <c r="A71" s="1111"/>
      <c r="B71" s="1112"/>
      <c r="C71" s="1112"/>
      <c r="D71" s="1112"/>
      <c r="E71" s="1112"/>
      <c r="F71" s="1112"/>
      <c r="G71" s="1112"/>
      <c r="H71" s="1112"/>
      <c r="I71" s="1112"/>
      <c r="J71" s="1112"/>
      <c r="K71" s="1112"/>
      <c r="L71" s="1112"/>
      <c r="M71" s="1112"/>
      <c r="N71" s="1112"/>
      <c r="O71" s="1112"/>
      <c r="P71" s="1112"/>
      <c r="Q71" s="1112"/>
      <c r="R71" s="1112"/>
      <c r="S71" s="1112"/>
      <c r="T71" s="1112"/>
      <c r="U71" s="1112"/>
      <c r="V71" s="1112"/>
      <c r="W71" s="1113"/>
      <c r="X71" s="1113"/>
      <c r="Y71" s="1113"/>
      <c r="Z71" s="1113"/>
      <c r="AA71" s="1113"/>
      <c r="AB71" s="1113"/>
      <c r="AC71" s="1114"/>
      <c r="AD71" s="1114"/>
      <c r="AE71" s="1114"/>
      <c r="AF71" s="1114"/>
      <c r="AG71" s="1114"/>
      <c r="AH71" s="1114"/>
      <c r="AI71" s="1114"/>
      <c r="AJ71" s="1114"/>
      <c r="AK71" s="1114"/>
      <c r="AL71" s="1114"/>
      <c r="AM71" s="1114"/>
      <c r="AN71" s="1114"/>
      <c r="AO71" s="1114"/>
      <c r="AP71" s="1114"/>
      <c r="AQ71" s="1114"/>
      <c r="AR71" s="1114"/>
      <c r="AS71" s="1114"/>
      <c r="AT71" s="1114"/>
      <c r="AU71" s="1114"/>
      <c r="AV71" s="1114"/>
      <c r="AW71" s="1114"/>
      <c r="AX71" s="1114"/>
      <c r="AY71" s="1115"/>
      <c r="AZ71" s="1116"/>
      <c r="BA71" s="1116"/>
      <c r="BB71" s="1116"/>
      <c r="BC71" s="1116"/>
      <c r="BD71" s="1116"/>
      <c r="BE71" s="1116"/>
      <c r="BF71" s="1117"/>
    </row>
    <row r="72" spans="1:59" ht="12" customHeight="1" x14ac:dyDescent="0.2">
      <c r="A72" s="1118"/>
      <c r="B72" s="1119"/>
      <c r="C72" s="1119"/>
      <c r="D72" s="1119"/>
      <c r="E72" s="1119"/>
      <c r="F72" s="1119"/>
      <c r="G72" s="1119"/>
      <c r="H72" s="1119"/>
      <c r="I72" s="1119"/>
      <c r="J72" s="1119"/>
      <c r="K72" s="1119"/>
      <c r="L72" s="1119"/>
      <c r="M72" s="1119"/>
      <c r="N72" s="1119"/>
      <c r="O72" s="1119"/>
      <c r="P72" s="1119"/>
      <c r="Q72" s="1119"/>
      <c r="R72" s="1119"/>
      <c r="S72" s="1119"/>
      <c r="T72" s="1119"/>
      <c r="U72" s="1119"/>
      <c r="V72" s="1119"/>
      <c r="W72" s="1120"/>
      <c r="X72" s="1120"/>
      <c r="Y72" s="1120"/>
      <c r="Z72" s="1120"/>
      <c r="AA72" s="1120"/>
      <c r="AB72" s="1120"/>
      <c r="AC72" s="1121"/>
      <c r="AD72" s="1121"/>
      <c r="AE72" s="1121"/>
      <c r="AF72" s="1121"/>
      <c r="AG72" s="1121"/>
      <c r="AH72" s="1121"/>
      <c r="AI72" s="1121"/>
      <c r="AJ72" s="1121"/>
      <c r="AK72" s="1121"/>
      <c r="AL72" s="1121"/>
      <c r="AM72" s="1121"/>
      <c r="AN72" s="1121"/>
      <c r="AO72" s="1121"/>
      <c r="AP72" s="1121"/>
      <c r="AQ72" s="1121"/>
      <c r="AR72" s="1121"/>
      <c r="AS72" s="1121"/>
      <c r="AT72" s="1121"/>
      <c r="AU72" s="1121"/>
      <c r="AV72" s="1121"/>
      <c r="AW72" s="1121"/>
      <c r="AX72" s="1121"/>
      <c r="AY72" s="1122"/>
      <c r="AZ72" s="1123"/>
      <c r="BA72" s="1123"/>
      <c r="BB72" s="1123"/>
      <c r="BC72" s="1123"/>
      <c r="BD72" s="1123"/>
      <c r="BE72" s="1123"/>
      <c r="BF72" s="1124"/>
    </row>
    <row r="73" spans="1:59" ht="12" customHeight="1" x14ac:dyDescent="0.2">
      <c r="A73" s="1111"/>
      <c r="B73" s="1112"/>
      <c r="C73" s="1112"/>
      <c r="D73" s="1112"/>
      <c r="E73" s="1112"/>
      <c r="F73" s="1112"/>
      <c r="G73" s="1112"/>
      <c r="H73" s="1112"/>
      <c r="I73" s="1112"/>
      <c r="J73" s="1112"/>
      <c r="K73" s="1112"/>
      <c r="L73" s="1112"/>
      <c r="M73" s="1112"/>
      <c r="N73" s="1112"/>
      <c r="O73" s="1112"/>
      <c r="P73" s="1112"/>
      <c r="Q73" s="1112"/>
      <c r="R73" s="1112"/>
      <c r="S73" s="1112"/>
      <c r="T73" s="1112"/>
      <c r="U73" s="1112"/>
      <c r="V73" s="1112"/>
      <c r="W73" s="1113"/>
      <c r="X73" s="1113"/>
      <c r="Y73" s="1113"/>
      <c r="Z73" s="1113"/>
      <c r="AA73" s="1113"/>
      <c r="AB73" s="1113"/>
      <c r="AC73" s="1114"/>
      <c r="AD73" s="1114"/>
      <c r="AE73" s="1114"/>
      <c r="AF73" s="1114"/>
      <c r="AG73" s="1114"/>
      <c r="AH73" s="1114"/>
      <c r="AI73" s="1114"/>
      <c r="AJ73" s="1114"/>
      <c r="AK73" s="1114"/>
      <c r="AL73" s="1114"/>
      <c r="AM73" s="1114"/>
      <c r="AN73" s="1114"/>
      <c r="AO73" s="1114"/>
      <c r="AP73" s="1114"/>
      <c r="AQ73" s="1114"/>
      <c r="AR73" s="1114"/>
      <c r="AS73" s="1114"/>
      <c r="AT73" s="1114"/>
      <c r="AU73" s="1114"/>
      <c r="AV73" s="1114"/>
      <c r="AW73" s="1114"/>
      <c r="AX73" s="1114"/>
      <c r="AY73" s="1115"/>
      <c r="AZ73" s="1116"/>
      <c r="BA73" s="1116"/>
      <c r="BB73" s="1116"/>
      <c r="BC73" s="1116"/>
      <c r="BD73" s="1116"/>
      <c r="BE73" s="1116"/>
      <c r="BF73" s="1117"/>
    </row>
    <row r="74" spans="1:59" ht="12" customHeight="1" x14ac:dyDescent="0.2">
      <c r="A74" s="1118"/>
      <c r="B74" s="1119"/>
      <c r="C74" s="1119"/>
      <c r="D74" s="1119"/>
      <c r="E74" s="1119"/>
      <c r="F74" s="1119"/>
      <c r="G74" s="1119"/>
      <c r="H74" s="1119"/>
      <c r="I74" s="1119"/>
      <c r="J74" s="1119"/>
      <c r="K74" s="1119"/>
      <c r="L74" s="1119"/>
      <c r="M74" s="1119"/>
      <c r="N74" s="1119"/>
      <c r="O74" s="1119"/>
      <c r="P74" s="1119"/>
      <c r="Q74" s="1119"/>
      <c r="R74" s="1119"/>
      <c r="S74" s="1119"/>
      <c r="T74" s="1119"/>
      <c r="U74" s="1119"/>
      <c r="V74" s="1119"/>
      <c r="W74" s="1120"/>
      <c r="X74" s="1120"/>
      <c r="Y74" s="1120"/>
      <c r="Z74" s="1120"/>
      <c r="AA74" s="1120"/>
      <c r="AB74" s="1120"/>
      <c r="AC74" s="1121"/>
      <c r="AD74" s="1121"/>
      <c r="AE74" s="1121"/>
      <c r="AF74" s="1121"/>
      <c r="AG74" s="1121"/>
      <c r="AH74" s="1121"/>
      <c r="AI74" s="1121"/>
      <c r="AJ74" s="1121"/>
      <c r="AK74" s="1121"/>
      <c r="AL74" s="1121"/>
      <c r="AM74" s="1121"/>
      <c r="AN74" s="1121"/>
      <c r="AO74" s="1121"/>
      <c r="AP74" s="1121"/>
      <c r="AQ74" s="1121"/>
      <c r="AR74" s="1121"/>
      <c r="AS74" s="1121"/>
      <c r="AT74" s="1121"/>
      <c r="AU74" s="1121"/>
      <c r="AV74" s="1121"/>
      <c r="AW74" s="1121"/>
      <c r="AX74" s="1121"/>
      <c r="AY74" s="1122"/>
      <c r="AZ74" s="1123"/>
      <c r="BA74" s="1123"/>
      <c r="BB74" s="1123"/>
      <c r="BC74" s="1123"/>
      <c r="BD74" s="1123"/>
      <c r="BE74" s="1123"/>
      <c r="BF74" s="1124"/>
    </row>
    <row r="75" spans="1:59" ht="12" customHeight="1" x14ac:dyDescent="0.2">
      <c r="A75" s="1111"/>
      <c r="B75" s="1112"/>
      <c r="C75" s="1112"/>
      <c r="D75" s="1112"/>
      <c r="E75" s="1112"/>
      <c r="F75" s="1112"/>
      <c r="G75" s="1112"/>
      <c r="H75" s="1112"/>
      <c r="I75" s="1112"/>
      <c r="J75" s="1112"/>
      <c r="K75" s="1112"/>
      <c r="L75" s="1112"/>
      <c r="M75" s="1112"/>
      <c r="N75" s="1112"/>
      <c r="O75" s="1112"/>
      <c r="P75" s="1112"/>
      <c r="Q75" s="1112"/>
      <c r="R75" s="1112"/>
      <c r="S75" s="1112"/>
      <c r="T75" s="1112"/>
      <c r="U75" s="1112"/>
      <c r="V75" s="1112"/>
      <c r="W75" s="1113"/>
      <c r="X75" s="1113"/>
      <c r="Y75" s="1113"/>
      <c r="Z75" s="1113"/>
      <c r="AA75" s="1113"/>
      <c r="AB75" s="1113"/>
      <c r="AC75" s="1114"/>
      <c r="AD75" s="1114"/>
      <c r="AE75" s="1114"/>
      <c r="AF75" s="1114"/>
      <c r="AG75" s="1114"/>
      <c r="AH75" s="1114"/>
      <c r="AI75" s="1114"/>
      <c r="AJ75" s="1114"/>
      <c r="AK75" s="1114"/>
      <c r="AL75" s="1114"/>
      <c r="AM75" s="1114"/>
      <c r="AN75" s="1114"/>
      <c r="AO75" s="1114"/>
      <c r="AP75" s="1114"/>
      <c r="AQ75" s="1114"/>
      <c r="AR75" s="1114"/>
      <c r="AS75" s="1114"/>
      <c r="AT75" s="1114"/>
      <c r="AU75" s="1114"/>
      <c r="AV75" s="1114"/>
      <c r="AW75" s="1114"/>
      <c r="AX75" s="1114"/>
      <c r="AY75" s="1115"/>
      <c r="AZ75" s="1116"/>
      <c r="BA75" s="1116"/>
      <c r="BB75" s="1116"/>
      <c r="BC75" s="1116"/>
      <c r="BD75" s="1116"/>
      <c r="BE75" s="1116"/>
      <c r="BF75" s="1117"/>
    </row>
    <row r="76" spans="1:59" ht="12" customHeight="1" x14ac:dyDescent="0.2">
      <c r="A76" s="1118"/>
      <c r="B76" s="1119"/>
      <c r="C76" s="1119"/>
      <c r="D76" s="1119"/>
      <c r="E76" s="1119"/>
      <c r="F76" s="1119"/>
      <c r="G76" s="1119"/>
      <c r="H76" s="1119"/>
      <c r="I76" s="1119"/>
      <c r="J76" s="1119"/>
      <c r="K76" s="1119"/>
      <c r="L76" s="1119"/>
      <c r="M76" s="1119"/>
      <c r="N76" s="1119"/>
      <c r="O76" s="1119"/>
      <c r="P76" s="1119"/>
      <c r="Q76" s="1119"/>
      <c r="R76" s="1119"/>
      <c r="S76" s="1119"/>
      <c r="T76" s="1119"/>
      <c r="U76" s="1119"/>
      <c r="V76" s="1119"/>
      <c r="W76" s="1120"/>
      <c r="X76" s="1120"/>
      <c r="Y76" s="1120"/>
      <c r="Z76" s="1120"/>
      <c r="AA76" s="1120"/>
      <c r="AB76" s="1120"/>
      <c r="AC76" s="1121"/>
      <c r="AD76" s="1121"/>
      <c r="AE76" s="1121"/>
      <c r="AF76" s="1121"/>
      <c r="AG76" s="1121"/>
      <c r="AH76" s="1121"/>
      <c r="AI76" s="1121"/>
      <c r="AJ76" s="1121"/>
      <c r="AK76" s="1121"/>
      <c r="AL76" s="1121"/>
      <c r="AM76" s="1121"/>
      <c r="AN76" s="1121"/>
      <c r="AO76" s="1121"/>
      <c r="AP76" s="1121"/>
      <c r="AQ76" s="1121"/>
      <c r="AR76" s="1121"/>
      <c r="AS76" s="1121"/>
      <c r="AT76" s="1121"/>
      <c r="AU76" s="1121"/>
      <c r="AV76" s="1121"/>
      <c r="AW76" s="1121"/>
      <c r="AX76" s="1121"/>
      <c r="AY76" s="1122"/>
      <c r="AZ76" s="1123"/>
      <c r="BA76" s="1123"/>
      <c r="BB76" s="1123"/>
      <c r="BC76" s="1123"/>
      <c r="BD76" s="1123"/>
      <c r="BE76" s="1123"/>
      <c r="BF76" s="1124"/>
    </row>
    <row r="77" spans="1:59" ht="12" customHeight="1" x14ac:dyDescent="0.2">
      <c r="A77" s="1111"/>
      <c r="B77" s="1112"/>
      <c r="C77" s="1112"/>
      <c r="D77" s="1112"/>
      <c r="E77" s="1112"/>
      <c r="F77" s="1112"/>
      <c r="G77" s="1112"/>
      <c r="H77" s="1112"/>
      <c r="I77" s="1112"/>
      <c r="J77" s="1112"/>
      <c r="K77" s="1112"/>
      <c r="L77" s="1112"/>
      <c r="M77" s="1112"/>
      <c r="N77" s="1112"/>
      <c r="O77" s="1112"/>
      <c r="P77" s="1112"/>
      <c r="Q77" s="1112"/>
      <c r="R77" s="1112"/>
      <c r="S77" s="1112"/>
      <c r="T77" s="1112"/>
      <c r="U77" s="1112"/>
      <c r="V77" s="1112"/>
      <c r="W77" s="1113"/>
      <c r="X77" s="1113"/>
      <c r="Y77" s="1113"/>
      <c r="Z77" s="1113"/>
      <c r="AA77" s="1113"/>
      <c r="AB77" s="1113"/>
      <c r="AC77" s="1114"/>
      <c r="AD77" s="1114"/>
      <c r="AE77" s="1114"/>
      <c r="AF77" s="1114"/>
      <c r="AG77" s="1114"/>
      <c r="AH77" s="1114"/>
      <c r="AI77" s="1114"/>
      <c r="AJ77" s="1114"/>
      <c r="AK77" s="1114"/>
      <c r="AL77" s="1114"/>
      <c r="AM77" s="1114"/>
      <c r="AN77" s="1114"/>
      <c r="AO77" s="1114"/>
      <c r="AP77" s="1114"/>
      <c r="AQ77" s="1114"/>
      <c r="AR77" s="1114"/>
      <c r="AS77" s="1114"/>
      <c r="AT77" s="1114"/>
      <c r="AU77" s="1114"/>
      <c r="AV77" s="1114"/>
      <c r="AW77" s="1114"/>
      <c r="AX77" s="1114"/>
      <c r="AY77" s="1115"/>
      <c r="AZ77" s="1116"/>
      <c r="BA77" s="1116"/>
      <c r="BB77" s="1116"/>
      <c r="BC77" s="1116"/>
      <c r="BD77" s="1116"/>
      <c r="BE77" s="1116"/>
      <c r="BF77" s="1117"/>
    </row>
    <row r="78" spans="1:59" ht="12" customHeight="1" x14ac:dyDescent="0.2">
      <c r="A78" s="1118"/>
      <c r="B78" s="1119"/>
      <c r="C78" s="1119"/>
      <c r="D78" s="1119"/>
      <c r="E78" s="1119"/>
      <c r="F78" s="1119"/>
      <c r="G78" s="1119"/>
      <c r="H78" s="1119"/>
      <c r="I78" s="1119"/>
      <c r="J78" s="1119"/>
      <c r="K78" s="1119"/>
      <c r="L78" s="1119"/>
      <c r="M78" s="1119"/>
      <c r="N78" s="1119"/>
      <c r="O78" s="1119"/>
      <c r="P78" s="1119"/>
      <c r="Q78" s="1119"/>
      <c r="R78" s="1119"/>
      <c r="S78" s="1119"/>
      <c r="T78" s="1119"/>
      <c r="U78" s="1119"/>
      <c r="V78" s="1119"/>
      <c r="W78" s="1120"/>
      <c r="X78" s="1120"/>
      <c r="Y78" s="1120"/>
      <c r="Z78" s="1120"/>
      <c r="AA78" s="1120"/>
      <c r="AB78" s="1120"/>
      <c r="AC78" s="1121"/>
      <c r="AD78" s="1121"/>
      <c r="AE78" s="1121"/>
      <c r="AF78" s="1121"/>
      <c r="AG78" s="1121"/>
      <c r="AH78" s="1121"/>
      <c r="AI78" s="1121"/>
      <c r="AJ78" s="1121"/>
      <c r="AK78" s="1121"/>
      <c r="AL78" s="1121"/>
      <c r="AM78" s="1121"/>
      <c r="AN78" s="1121"/>
      <c r="AO78" s="1121"/>
      <c r="AP78" s="1121"/>
      <c r="AQ78" s="1121"/>
      <c r="AR78" s="1121"/>
      <c r="AS78" s="1121"/>
      <c r="AT78" s="1121"/>
      <c r="AU78" s="1121"/>
      <c r="AV78" s="1121"/>
      <c r="AW78" s="1121"/>
      <c r="AX78" s="1121"/>
      <c r="AY78" s="1122"/>
      <c r="AZ78" s="1123"/>
      <c r="BA78" s="1123"/>
      <c r="BB78" s="1123"/>
      <c r="BC78" s="1123"/>
      <c r="BD78" s="1123"/>
      <c r="BE78" s="1123"/>
      <c r="BF78" s="1124"/>
    </row>
    <row r="79" spans="1:59" ht="12" customHeight="1" x14ac:dyDescent="0.2">
      <c r="A79" s="1111"/>
      <c r="B79" s="1112"/>
      <c r="C79" s="1112"/>
      <c r="D79" s="1112"/>
      <c r="E79" s="1112"/>
      <c r="F79" s="1112"/>
      <c r="G79" s="1112"/>
      <c r="H79" s="1112"/>
      <c r="I79" s="1112"/>
      <c r="J79" s="1112"/>
      <c r="K79" s="1112"/>
      <c r="L79" s="1112"/>
      <c r="M79" s="1112"/>
      <c r="N79" s="1112"/>
      <c r="O79" s="1112"/>
      <c r="P79" s="1112"/>
      <c r="Q79" s="1112"/>
      <c r="R79" s="1112"/>
      <c r="S79" s="1112"/>
      <c r="T79" s="1112"/>
      <c r="U79" s="1112"/>
      <c r="V79" s="1112"/>
      <c r="W79" s="1113"/>
      <c r="X79" s="1113"/>
      <c r="Y79" s="1113"/>
      <c r="Z79" s="1113"/>
      <c r="AA79" s="1113"/>
      <c r="AB79" s="1113"/>
      <c r="AC79" s="1114"/>
      <c r="AD79" s="1114"/>
      <c r="AE79" s="1114"/>
      <c r="AF79" s="1114"/>
      <c r="AG79" s="1114"/>
      <c r="AH79" s="1114"/>
      <c r="AI79" s="1114"/>
      <c r="AJ79" s="1114"/>
      <c r="AK79" s="1114"/>
      <c r="AL79" s="1114"/>
      <c r="AM79" s="1114"/>
      <c r="AN79" s="1114"/>
      <c r="AO79" s="1114"/>
      <c r="AP79" s="1114"/>
      <c r="AQ79" s="1114"/>
      <c r="AR79" s="1114"/>
      <c r="AS79" s="1114"/>
      <c r="AT79" s="1114"/>
      <c r="AU79" s="1114"/>
      <c r="AV79" s="1114"/>
      <c r="AW79" s="1114"/>
      <c r="AX79" s="1114"/>
      <c r="AY79" s="1115"/>
      <c r="AZ79" s="1116"/>
      <c r="BA79" s="1116"/>
      <c r="BB79" s="1116"/>
      <c r="BC79" s="1116"/>
      <c r="BD79" s="1116"/>
      <c r="BE79" s="1116"/>
      <c r="BF79" s="1117"/>
    </row>
    <row r="80" spans="1:59" ht="12" customHeight="1" x14ac:dyDescent="0.2">
      <c r="A80" s="1118"/>
      <c r="B80" s="1119"/>
      <c r="C80" s="1119"/>
      <c r="D80" s="1119"/>
      <c r="E80" s="1119"/>
      <c r="F80" s="1119"/>
      <c r="G80" s="1119"/>
      <c r="H80" s="1119"/>
      <c r="I80" s="1119"/>
      <c r="J80" s="1119"/>
      <c r="K80" s="1119"/>
      <c r="L80" s="1119"/>
      <c r="M80" s="1119"/>
      <c r="N80" s="1119"/>
      <c r="O80" s="1119"/>
      <c r="P80" s="1119"/>
      <c r="Q80" s="1119"/>
      <c r="R80" s="1119"/>
      <c r="S80" s="1119"/>
      <c r="T80" s="1119"/>
      <c r="U80" s="1119"/>
      <c r="V80" s="1119"/>
      <c r="W80" s="1120"/>
      <c r="X80" s="1120"/>
      <c r="Y80" s="1120"/>
      <c r="Z80" s="1120"/>
      <c r="AA80" s="1120"/>
      <c r="AB80" s="1120"/>
      <c r="AC80" s="1121"/>
      <c r="AD80" s="1121"/>
      <c r="AE80" s="1121"/>
      <c r="AF80" s="1121"/>
      <c r="AG80" s="1121"/>
      <c r="AH80" s="1121"/>
      <c r="AI80" s="1121"/>
      <c r="AJ80" s="1121"/>
      <c r="AK80" s="1121"/>
      <c r="AL80" s="1121"/>
      <c r="AM80" s="1121"/>
      <c r="AN80" s="1121"/>
      <c r="AO80" s="1121"/>
      <c r="AP80" s="1121"/>
      <c r="AQ80" s="1121"/>
      <c r="AR80" s="1121"/>
      <c r="AS80" s="1121"/>
      <c r="AT80" s="1121"/>
      <c r="AU80" s="1121"/>
      <c r="AV80" s="1121"/>
      <c r="AW80" s="1121"/>
      <c r="AX80" s="1121"/>
      <c r="AY80" s="1122"/>
      <c r="AZ80" s="1123"/>
      <c r="BA80" s="1123"/>
      <c r="BB80" s="1123"/>
      <c r="BC80" s="1123"/>
      <c r="BD80" s="1123"/>
      <c r="BE80" s="1123"/>
      <c r="BF80" s="1124"/>
    </row>
    <row r="81" spans="1:58" ht="12" customHeight="1" x14ac:dyDescent="0.2">
      <c r="A81" s="1111"/>
      <c r="B81" s="1112"/>
      <c r="C81" s="1112"/>
      <c r="D81" s="1112"/>
      <c r="E81" s="1112"/>
      <c r="F81" s="1112"/>
      <c r="G81" s="1112"/>
      <c r="H81" s="1112"/>
      <c r="I81" s="1112"/>
      <c r="J81" s="1112"/>
      <c r="K81" s="1112"/>
      <c r="L81" s="1112"/>
      <c r="M81" s="1112"/>
      <c r="N81" s="1112"/>
      <c r="O81" s="1112"/>
      <c r="P81" s="1112"/>
      <c r="Q81" s="1112"/>
      <c r="R81" s="1112"/>
      <c r="S81" s="1112"/>
      <c r="T81" s="1112"/>
      <c r="U81" s="1112"/>
      <c r="V81" s="1112"/>
      <c r="W81" s="1113"/>
      <c r="X81" s="1113"/>
      <c r="Y81" s="1113"/>
      <c r="Z81" s="1113"/>
      <c r="AA81" s="1113"/>
      <c r="AB81" s="1113"/>
      <c r="AC81" s="1114"/>
      <c r="AD81" s="1114"/>
      <c r="AE81" s="1114"/>
      <c r="AF81" s="1114"/>
      <c r="AG81" s="1114"/>
      <c r="AH81" s="1114"/>
      <c r="AI81" s="1114"/>
      <c r="AJ81" s="1114"/>
      <c r="AK81" s="1114"/>
      <c r="AL81" s="1114"/>
      <c r="AM81" s="1114"/>
      <c r="AN81" s="1114"/>
      <c r="AO81" s="1114"/>
      <c r="AP81" s="1114"/>
      <c r="AQ81" s="1114"/>
      <c r="AR81" s="1114"/>
      <c r="AS81" s="1114"/>
      <c r="AT81" s="1114"/>
      <c r="AU81" s="1114"/>
      <c r="AV81" s="1114"/>
      <c r="AW81" s="1114"/>
      <c r="AX81" s="1114"/>
      <c r="AY81" s="1115"/>
      <c r="AZ81" s="1116"/>
      <c r="BA81" s="1116"/>
      <c r="BB81" s="1116"/>
      <c r="BC81" s="1116"/>
      <c r="BD81" s="1116"/>
      <c r="BE81" s="1116"/>
      <c r="BF81" s="1117"/>
    </row>
    <row r="82" spans="1:58" ht="12" customHeight="1" x14ac:dyDescent="0.2">
      <c r="A82" s="1118"/>
      <c r="B82" s="1119"/>
      <c r="C82" s="1119"/>
      <c r="D82" s="1119"/>
      <c r="E82" s="1119"/>
      <c r="F82" s="1119"/>
      <c r="G82" s="1119"/>
      <c r="H82" s="1119"/>
      <c r="I82" s="1119"/>
      <c r="J82" s="1119"/>
      <c r="K82" s="1119"/>
      <c r="L82" s="1119"/>
      <c r="M82" s="1119"/>
      <c r="N82" s="1119"/>
      <c r="O82" s="1119"/>
      <c r="P82" s="1119"/>
      <c r="Q82" s="1119"/>
      <c r="R82" s="1119"/>
      <c r="S82" s="1119"/>
      <c r="T82" s="1119"/>
      <c r="U82" s="1119"/>
      <c r="V82" s="1119"/>
      <c r="W82" s="1120"/>
      <c r="X82" s="1120"/>
      <c r="Y82" s="1120"/>
      <c r="Z82" s="1120"/>
      <c r="AA82" s="1120"/>
      <c r="AB82" s="1120"/>
      <c r="AC82" s="1121"/>
      <c r="AD82" s="1121"/>
      <c r="AE82" s="1121"/>
      <c r="AF82" s="1121"/>
      <c r="AG82" s="1121"/>
      <c r="AH82" s="1121"/>
      <c r="AI82" s="1121"/>
      <c r="AJ82" s="1121"/>
      <c r="AK82" s="1121"/>
      <c r="AL82" s="1121"/>
      <c r="AM82" s="1121"/>
      <c r="AN82" s="1121"/>
      <c r="AO82" s="1121"/>
      <c r="AP82" s="1121"/>
      <c r="AQ82" s="1121"/>
      <c r="AR82" s="1121"/>
      <c r="AS82" s="1121"/>
      <c r="AT82" s="1121"/>
      <c r="AU82" s="1121"/>
      <c r="AV82" s="1121"/>
      <c r="AW82" s="1121"/>
      <c r="AX82" s="1121"/>
      <c r="AY82" s="1122"/>
      <c r="AZ82" s="1123"/>
      <c r="BA82" s="1123"/>
      <c r="BB82" s="1123"/>
      <c r="BC82" s="1123"/>
      <c r="BD82" s="1123"/>
      <c r="BE82" s="1123"/>
      <c r="BF82" s="1124"/>
    </row>
    <row r="83" spans="1:58" ht="12" customHeight="1" x14ac:dyDescent="0.2">
      <c r="A83" s="1111"/>
      <c r="B83" s="1112"/>
      <c r="C83" s="1112"/>
      <c r="D83" s="1112"/>
      <c r="E83" s="1112"/>
      <c r="F83" s="1112"/>
      <c r="G83" s="1112"/>
      <c r="H83" s="1112"/>
      <c r="I83" s="1112"/>
      <c r="J83" s="1112"/>
      <c r="K83" s="1112"/>
      <c r="L83" s="1112"/>
      <c r="M83" s="1112"/>
      <c r="N83" s="1112"/>
      <c r="O83" s="1112"/>
      <c r="P83" s="1112"/>
      <c r="Q83" s="1112"/>
      <c r="R83" s="1112"/>
      <c r="S83" s="1112"/>
      <c r="T83" s="1112"/>
      <c r="U83" s="1112"/>
      <c r="V83" s="1112"/>
      <c r="W83" s="1113"/>
      <c r="X83" s="1113"/>
      <c r="Y83" s="1113"/>
      <c r="Z83" s="1113"/>
      <c r="AA83" s="1113"/>
      <c r="AB83" s="1113"/>
      <c r="AC83" s="1114"/>
      <c r="AD83" s="1114"/>
      <c r="AE83" s="1114"/>
      <c r="AF83" s="1114"/>
      <c r="AG83" s="1114"/>
      <c r="AH83" s="1114"/>
      <c r="AI83" s="1114"/>
      <c r="AJ83" s="1114"/>
      <c r="AK83" s="1114"/>
      <c r="AL83" s="1114"/>
      <c r="AM83" s="1114"/>
      <c r="AN83" s="1114"/>
      <c r="AO83" s="1114"/>
      <c r="AP83" s="1114"/>
      <c r="AQ83" s="1114"/>
      <c r="AR83" s="1114"/>
      <c r="AS83" s="1114"/>
      <c r="AT83" s="1114"/>
      <c r="AU83" s="1114"/>
      <c r="AV83" s="1114"/>
      <c r="AW83" s="1114"/>
      <c r="AX83" s="1114"/>
      <c r="AY83" s="1115"/>
      <c r="AZ83" s="1116"/>
      <c r="BA83" s="1116"/>
      <c r="BB83" s="1116"/>
      <c r="BC83" s="1116"/>
      <c r="BD83" s="1116"/>
      <c r="BE83" s="1116"/>
      <c r="BF83" s="1117"/>
    </row>
    <row r="84" spans="1:58" ht="12" customHeight="1" x14ac:dyDescent="0.2">
      <c r="A84" s="1118"/>
      <c r="B84" s="1119"/>
      <c r="C84" s="1119"/>
      <c r="D84" s="1119"/>
      <c r="E84" s="1119"/>
      <c r="F84" s="1119"/>
      <c r="G84" s="1119"/>
      <c r="H84" s="1119"/>
      <c r="I84" s="1119"/>
      <c r="J84" s="1119"/>
      <c r="K84" s="1119"/>
      <c r="L84" s="1119"/>
      <c r="M84" s="1119"/>
      <c r="N84" s="1119"/>
      <c r="O84" s="1119"/>
      <c r="P84" s="1119"/>
      <c r="Q84" s="1119"/>
      <c r="R84" s="1119"/>
      <c r="S84" s="1119"/>
      <c r="T84" s="1119"/>
      <c r="U84" s="1119"/>
      <c r="V84" s="1119"/>
      <c r="W84" s="1120"/>
      <c r="X84" s="1120"/>
      <c r="Y84" s="1120"/>
      <c r="Z84" s="1120"/>
      <c r="AA84" s="1120"/>
      <c r="AB84" s="1120"/>
      <c r="AC84" s="1121"/>
      <c r="AD84" s="1121"/>
      <c r="AE84" s="1121"/>
      <c r="AF84" s="1121"/>
      <c r="AG84" s="1121"/>
      <c r="AH84" s="1121"/>
      <c r="AI84" s="1121"/>
      <c r="AJ84" s="1121"/>
      <c r="AK84" s="1121"/>
      <c r="AL84" s="1121"/>
      <c r="AM84" s="1121"/>
      <c r="AN84" s="1121"/>
      <c r="AO84" s="1121"/>
      <c r="AP84" s="1121"/>
      <c r="AQ84" s="1121"/>
      <c r="AR84" s="1121"/>
      <c r="AS84" s="1121"/>
      <c r="AT84" s="1121"/>
      <c r="AU84" s="1121"/>
      <c r="AV84" s="1121"/>
      <c r="AW84" s="1121"/>
      <c r="AX84" s="1121"/>
      <c r="AY84" s="1122"/>
      <c r="AZ84" s="1123"/>
      <c r="BA84" s="1123"/>
      <c r="BB84" s="1123"/>
      <c r="BC84" s="1123"/>
      <c r="BD84" s="1123"/>
      <c r="BE84" s="1123"/>
      <c r="BF84" s="1124"/>
    </row>
    <row r="85" spans="1:58" ht="12" customHeight="1" x14ac:dyDescent="0.2">
      <c r="A85" s="1111"/>
      <c r="B85" s="1112"/>
      <c r="C85" s="1112"/>
      <c r="D85" s="1112"/>
      <c r="E85" s="1112"/>
      <c r="F85" s="1112"/>
      <c r="G85" s="1112"/>
      <c r="H85" s="1112"/>
      <c r="I85" s="1112"/>
      <c r="J85" s="1112"/>
      <c r="K85" s="1112"/>
      <c r="L85" s="1112"/>
      <c r="M85" s="1112"/>
      <c r="N85" s="1112"/>
      <c r="O85" s="1112"/>
      <c r="P85" s="1112"/>
      <c r="Q85" s="1112"/>
      <c r="R85" s="1112"/>
      <c r="S85" s="1112"/>
      <c r="T85" s="1112"/>
      <c r="U85" s="1112"/>
      <c r="V85" s="1112"/>
      <c r="W85" s="1113"/>
      <c r="X85" s="1113"/>
      <c r="Y85" s="1113"/>
      <c r="Z85" s="1113"/>
      <c r="AA85" s="1113"/>
      <c r="AB85" s="1113"/>
      <c r="AC85" s="1114"/>
      <c r="AD85" s="1114"/>
      <c r="AE85" s="1114"/>
      <c r="AF85" s="1114"/>
      <c r="AG85" s="1114"/>
      <c r="AH85" s="1114"/>
      <c r="AI85" s="1114"/>
      <c r="AJ85" s="1114"/>
      <c r="AK85" s="1114"/>
      <c r="AL85" s="1114"/>
      <c r="AM85" s="1114"/>
      <c r="AN85" s="1114"/>
      <c r="AO85" s="1114"/>
      <c r="AP85" s="1114"/>
      <c r="AQ85" s="1114"/>
      <c r="AR85" s="1114"/>
      <c r="AS85" s="1114"/>
      <c r="AT85" s="1114"/>
      <c r="AU85" s="1114"/>
      <c r="AV85" s="1114"/>
      <c r="AW85" s="1114"/>
      <c r="AX85" s="1114"/>
      <c r="AY85" s="1115"/>
      <c r="AZ85" s="1116"/>
      <c r="BA85" s="1116"/>
      <c r="BB85" s="1116"/>
      <c r="BC85" s="1116"/>
      <c r="BD85" s="1116"/>
      <c r="BE85" s="1116"/>
      <c r="BF85" s="1117"/>
    </row>
    <row r="86" spans="1:58" ht="12" customHeight="1" x14ac:dyDescent="0.2">
      <c r="A86" s="1118"/>
      <c r="B86" s="1119"/>
      <c r="C86" s="1119"/>
      <c r="D86" s="1119"/>
      <c r="E86" s="1119"/>
      <c r="F86" s="1119"/>
      <c r="G86" s="1119"/>
      <c r="H86" s="1119"/>
      <c r="I86" s="1119"/>
      <c r="J86" s="1119"/>
      <c r="K86" s="1119"/>
      <c r="L86" s="1119"/>
      <c r="M86" s="1119"/>
      <c r="N86" s="1119"/>
      <c r="O86" s="1119"/>
      <c r="P86" s="1119"/>
      <c r="Q86" s="1119"/>
      <c r="R86" s="1119"/>
      <c r="S86" s="1119"/>
      <c r="T86" s="1119"/>
      <c r="U86" s="1119"/>
      <c r="V86" s="1119"/>
      <c r="W86" s="1120"/>
      <c r="X86" s="1120"/>
      <c r="Y86" s="1120"/>
      <c r="Z86" s="1120"/>
      <c r="AA86" s="1120"/>
      <c r="AB86" s="1120"/>
      <c r="AC86" s="1121"/>
      <c r="AD86" s="1121"/>
      <c r="AE86" s="1121"/>
      <c r="AF86" s="1121"/>
      <c r="AG86" s="1121"/>
      <c r="AH86" s="1121"/>
      <c r="AI86" s="1121"/>
      <c r="AJ86" s="1121"/>
      <c r="AK86" s="1121"/>
      <c r="AL86" s="1121"/>
      <c r="AM86" s="1121"/>
      <c r="AN86" s="1121"/>
      <c r="AO86" s="1121"/>
      <c r="AP86" s="1121"/>
      <c r="AQ86" s="1121"/>
      <c r="AR86" s="1121"/>
      <c r="AS86" s="1121"/>
      <c r="AT86" s="1121"/>
      <c r="AU86" s="1121"/>
      <c r="AV86" s="1121"/>
      <c r="AW86" s="1121"/>
      <c r="AX86" s="1121"/>
      <c r="AY86" s="1122"/>
      <c r="AZ86" s="1123"/>
      <c r="BA86" s="1123"/>
      <c r="BB86" s="1123"/>
      <c r="BC86" s="1123"/>
      <c r="BD86" s="1123"/>
      <c r="BE86" s="1123"/>
      <c r="BF86" s="1124"/>
    </row>
    <row r="87" spans="1:58" ht="12" customHeight="1" x14ac:dyDescent="0.2">
      <c r="A87" s="1111"/>
      <c r="B87" s="1112"/>
      <c r="C87" s="1112"/>
      <c r="D87" s="1112"/>
      <c r="E87" s="1112"/>
      <c r="F87" s="1112"/>
      <c r="G87" s="1112"/>
      <c r="H87" s="1112"/>
      <c r="I87" s="1112"/>
      <c r="J87" s="1112"/>
      <c r="K87" s="1112"/>
      <c r="L87" s="1112"/>
      <c r="M87" s="1112"/>
      <c r="N87" s="1112"/>
      <c r="O87" s="1112"/>
      <c r="P87" s="1112"/>
      <c r="Q87" s="1112"/>
      <c r="R87" s="1112"/>
      <c r="S87" s="1112"/>
      <c r="T87" s="1112"/>
      <c r="U87" s="1112"/>
      <c r="V87" s="1112"/>
      <c r="W87" s="1113"/>
      <c r="X87" s="1113"/>
      <c r="Y87" s="1113"/>
      <c r="Z87" s="1113"/>
      <c r="AA87" s="1113"/>
      <c r="AB87" s="1113"/>
      <c r="AC87" s="1114"/>
      <c r="AD87" s="1114"/>
      <c r="AE87" s="1114"/>
      <c r="AF87" s="1114"/>
      <c r="AG87" s="1114"/>
      <c r="AH87" s="1114"/>
      <c r="AI87" s="1114"/>
      <c r="AJ87" s="1114"/>
      <c r="AK87" s="1114"/>
      <c r="AL87" s="1114"/>
      <c r="AM87" s="1114"/>
      <c r="AN87" s="1114"/>
      <c r="AO87" s="1114"/>
      <c r="AP87" s="1114"/>
      <c r="AQ87" s="1114"/>
      <c r="AR87" s="1114"/>
      <c r="AS87" s="1114"/>
      <c r="AT87" s="1114"/>
      <c r="AU87" s="1114"/>
      <c r="AV87" s="1114"/>
      <c r="AW87" s="1114"/>
      <c r="AX87" s="1114"/>
      <c r="AY87" s="1115"/>
      <c r="AZ87" s="1116"/>
      <c r="BA87" s="1116"/>
      <c r="BB87" s="1116"/>
      <c r="BC87" s="1116"/>
      <c r="BD87" s="1116"/>
      <c r="BE87" s="1116"/>
      <c r="BF87" s="1117"/>
    </row>
    <row r="88" spans="1:58" ht="12" customHeight="1" x14ac:dyDescent="0.2">
      <c r="A88" s="1118"/>
      <c r="B88" s="1119"/>
      <c r="C88" s="1119"/>
      <c r="D88" s="1119"/>
      <c r="E88" s="1119"/>
      <c r="F88" s="1119"/>
      <c r="G88" s="1119"/>
      <c r="H88" s="1119"/>
      <c r="I88" s="1119"/>
      <c r="J88" s="1119"/>
      <c r="K88" s="1119"/>
      <c r="L88" s="1119"/>
      <c r="M88" s="1119"/>
      <c r="N88" s="1119"/>
      <c r="O88" s="1119"/>
      <c r="P88" s="1119"/>
      <c r="Q88" s="1119"/>
      <c r="R88" s="1119"/>
      <c r="S88" s="1119"/>
      <c r="T88" s="1119"/>
      <c r="U88" s="1119"/>
      <c r="V88" s="1119"/>
      <c r="W88" s="1120"/>
      <c r="X88" s="1120"/>
      <c r="Y88" s="1120"/>
      <c r="Z88" s="1120"/>
      <c r="AA88" s="1120"/>
      <c r="AB88" s="1120"/>
      <c r="AC88" s="1121"/>
      <c r="AD88" s="1121"/>
      <c r="AE88" s="1121"/>
      <c r="AF88" s="1121"/>
      <c r="AG88" s="1121"/>
      <c r="AH88" s="1121"/>
      <c r="AI88" s="1121"/>
      <c r="AJ88" s="1121"/>
      <c r="AK88" s="1121"/>
      <c r="AL88" s="1121"/>
      <c r="AM88" s="1121"/>
      <c r="AN88" s="1121"/>
      <c r="AO88" s="1121"/>
      <c r="AP88" s="1121"/>
      <c r="AQ88" s="1121"/>
      <c r="AR88" s="1121"/>
      <c r="AS88" s="1121"/>
      <c r="AT88" s="1121"/>
      <c r="AU88" s="1121"/>
      <c r="AV88" s="1121"/>
      <c r="AW88" s="1121"/>
      <c r="AX88" s="1121"/>
      <c r="AY88" s="1122"/>
      <c r="AZ88" s="1123"/>
      <c r="BA88" s="1123"/>
      <c r="BB88" s="1123"/>
      <c r="BC88" s="1123"/>
      <c r="BD88" s="1123"/>
      <c r="BE88" s="1123"/>
      <c r="BF88" s="1124"/>
    </row>
    <row r="89" spans="1:58" ht="12" customHeight="1" x14ac:dyDescent="0.2">
      <c r="A89" s="1111"/>
      <c r="B89" s="1112"/>
      <c r="C89" s="1112"/>
      <c r="D89" s="1112"/>
      <c r="E89" s="1112"/>
      <c r="F89" s="1112"/>
      <c r="G89" s="1112"/>
      <c r="H89" s="1112"/>
      <c r="I89" s="1112"/>
      <c r="J89" s="1112"/>
      <c r="K89" s="1112"/>
      <c r="L89" s="1112"/>
      <c r="M89" s="1112"/>
      <c r="N89" s="1112"/>
      <c r="O89" s="1112"/>
      <c r="P89" s="1112"/>
      <c r="Q89" s="1112"/>
      <c r="R89" s="1112"/>
      <c r="S89" s="1112"/>
      <c r="T89" s="1112"/>
      <c r="U89" s="1112"/>
      <c r="V89" s="1112"/>
      <c r="W89" s="1113"/>
      <c r="X89" s="1113"/>
      <c r="Y89" s="1113"/>
      <c r="Z89" s="1113"/>
      <c r="AA89" s="1113"/>
      <c r="AB89" s="1113"/>
      <c r="AC89" s="1114"/>
      <c r="AD89" s="1114"/>
      <c r="AE89" s="1114"/>
      <c r="AF89" s="1114"/>
      <c r="AG89" s="1114"/>
      <c r="AH89" s="1114"/>
      <c r="AI89" s="1114"/>
      <c r="AJ89" s="1114"/>
      <c r="AK89" s="1114"/>
      <c r="AL89" s="1114"/>
      <c r="AM89" s="1114"/>
      <c r="AN89" s="1114"/>
      <c r="AO89" s="1114"/>
      <c r="AP89" s="1114"/>
      <c r="AQ89" s="1114"/>
      <c r="AR89" s="1114"/>
      <c r="AS89" s="1114"/>
      <c r="AT89" s="1114"/>
      <c r="AU89" s="1114"/>
      <c r="AV89" s="1114"/>
      <c r="AW89" s="1114"/>
      <c r="AX89" s="1114"/>
      <c r="AY89" s="1115"/>
      <c r="AZ89" s="1116"/>
      <c r="BA89" s="1116"/>
      <c r="BB89" s="1116"/>
      <c r="BC89" s="1116"/>
      <c r="BD89" s="1116"/>
      <c r="BE89" s="1116"/>
      <c r="BF89" s="1117"/>
    </row>
    <row r="90" spans="1:58" ht="12" customHeight="1" x14ac:dyDescent="0.2">
      <c r="A90" s="1118"/>
      <c r="B90" s="1119"/>
      <c r="C90" s="1119"/>
      <c r="D90" s="1119"/>
      <c r="E90" s="1119"/>
      <c r="F90" s="1119"/>
      <c r="G90" s="1119"/>
      <c r="H90" s="1119"/>
      <c r="I90" s="1119"/>
      <c r="J90" s="1119"/>
      <c r="K90" s="1119"/>
      <c r="L90" s="1119"/>
      <c r="M90" s="1119"/>
      <c r="N90" s="1119"/>
      <c r="O90" s="1119"/>
      <c r="P90" s="1119"/>
      <c r="Q90" s="1119"/>
      <c r="R90" s="1119"/>
      <c r="S90" s="1119"/>
      <c r="T90" s="1119"/>
      <c r="U90" s="1119"/>
      <c r="V90" s="1119"/>
      <c r="W90" s="1120"/>
      <c r="X90" s="1120"/>
      <c r="Y90" s="1120"/>
      <c r="Z90" s="1120"/>
      <c r="AA90" s="1120"/>
      <c r="AB90" s="1120"/>
      <c r="AC90" s="1121"/>
      <c r="AD90" s="1121"/>
      <c r="AE90" s="1121"/>
      <c r="AF90" s="1121"/>
      <c r="AG90" s="1121"/>
      <c r="AH90" s="1121"/>
      <c r="AI90" s="1121"/>
      <c r="AJ90" s="1121"/>
      <c r="AK90" s="1121"/>
      <c r="AL90" s="1121"/>
      <c r="AM90" s="1121"/>
      <c r="AN90" s="1121"/>
      <c r="AO90" s="1121"/>
      <c r="AP90" s="1121"/>
      <c r="AQ90" s="1121"/>
      <c r="AR90" s="1121"/>
      <c r="AS90" s="1121"/>
      <c r="AT90" s="1121"/>
      <c r="AU90" s="1121"/>
      <c r="AV90" s="1121"/>
      <c r="AW90" s="1121"/>
      <c r="AX90" s="1121"/>
      <c r="AY90" s="1122"/>
      <c r="AZ90" s="1123"/>
      <c r="BA90" s="1123"/>
      <c r="BB90" s="1123"/>
      <c r="BC90" s="1123"/>
      <c r="BD90" s="1123"/>
      <c r="BE90" s="1123"/>
      <c r="BF90" s="1124"/>
    </row>
    <row r="91" spans="1:58" ht="12" customHeight="1" x14ac:dyDescent="0.2">
      <c r="A91" s="1111"/>
      <c r="B91" s="1112"/>
      <c r="C91" s="1112"/>
      <c r="D91" s="1112"/>
      <c r="E91" s="1112"/>
      <c r="F91" s="1112"/>
      <c r="G91" s="1112"/>
      <c r="H91" s="1112"/>
      <c r="I91" s="1112"/>
      <c r="J91" s="1112"/>
      <c r="K91" s="1112"/>
      <c r="L91" s="1112"/>
      <c r="M91" s="1112"/>
      <c r="N91" s="1112"/>
      <c r="O91" s="1112"/>
      <c r="P91" s="1112"/>
      <c r="Q91" s="1112"/>
      <c r="R91" s="1112"/>
      <c r="S91" s="1112"/>
      <c r="T91" s="1112"/>
      <c r="U91" s="1112"/>
      <c r="V91" s="1112"/>
      <c r="W91" s="1113"/>
      <c r="X91" s="1113"/>
      <c r="Y91" s="1113"/>
      <c r="Z91" s="1113"/>
      <c r="AA91" s="1113"/>
      <c r="AB91" s="1113"/>
      <c r="AC91" s="1114"/>
      <c r="AD91" s="1114"/>
      <c r="AE91" s="1114"/>
      <c r="AF91" s="1114"/>
      <c r="AG91" s="1114"/>
      <c r="AH91" s="1114"/>
      <c r="AI91" s="1114"/>
      <c r="AJ91" s="1114"/>
      <c r="AK91" s="1114"/>
      <c r="AL91" s="1114"/>
      <c r="AM91" s="1114"/>
      <c r="AN91" s="1114"/>
      <c r="AO91" s="1114"/>
      <c r="AP91" s="1114"/>
      <c r="AQ91" s="1114"/>
      <c r="AR91" s="1114"/>
      <c r="AS91" s="1114"/>
      <c r="AT91" s="1114"/>
      <c r="AU91" s="1114"/>
      <c r="AV91" s="1114"/>
      <c r="AW91" s="1114"/>
      <c r="AX91" s="1114"/>
      <c r="AY91" s="1115"/>
      <c r="AZ91" s="1116"/>
      <c r="BA91" s="1116"/>
      <c r="BB91" s="1116"/>
      <c r="BC91" s="1116"/>
      <c r="BD91" s="1116"/>
      <c r="BE91" s="1116"/>
      <c r="BF91" s="1117"/>
    </row>
    <row r="92" spans="1:58" ht="12" customHeight="1" x14ac:dyDescent="0.2">
      <c r="A92" s="1118"/>
      <c r="B92" s="1119"/>
      <c r="C92" s="1119"/>
      <c r="D92" s="1119"/>
      <c r="E92" s="1119"/>
      <c r="F92" s="1119"/>
      <c r="G92" s="1119"/>
      <c r="H92" s="1119"/>
      <c r="I92" s="1119"/>
      <c r="J92" s="1119"/>
      <c r="K92" s="1119"/>
      <c r="L92" s="1119"/>
      <c r="M92" s="1119"/>
      <c r="N92" s="1119"/>
      <c r="O92" s="1119"/>
      <c r="P92" s="1119"/>
      <c r="Q92" s="1119"/>
      <c r="R92" s="1119"/>
      <c r="S92" s="1119"/>
      <c r="T92" s="1119"/>
      <c r="U92" s="1119"/>
      <c r="V92" s="1119"/>
      <c r="W92" s="1120"/>
      <c r="X92" s="1120"/>
      <c r="Y92" s="1120"/>
      <c r="Z92" s="1120"/>
      <c r="AA92" s="1120"/>
      <c r="AB92" s="1120"/>
      <c r="AC92" s="1121"/>
      <c r="AD92" s="1121"/>
      <c r="AE92" s="1121"/>
      <c r="AF92" s="1121"/>
      <c r="AG92" s="1121"/>
      <c r="AH92" s="1121"/>
      <c r="AI92" s="1121"/>
      <c r="AJ92" s="1121"/>
      <c r="AK92" s="1121"/>
      <c r="AL92" s="1121"/>
      <c r="AM92" s="1121"/>
      <c r="AN92" s="1121"/>
      <c r="AO92" s="1121"/>
      <c r="AP92" s="1121"/>
      <c r="AQ92" s="1121"/>
      <c r="AR92" s="1121"/>
      <c r="AS92" s="1121"/>
      <c r="AT92" s="1121"/>
      <c r="AU92" s="1121"/>
      <c r="AV92" s="1121"/>
      <c r="AW92" s="1121"/>
      <c r="AX92" s="1121"/>
      <c r="AY92" s="1122"/>
      <c r="AZ92" s="1123"/>
      <c r="BA92" s="1123"/>
      <c r="BB92" s="1123"/>
      <c r="BC92" s="1123"/>
      <c r="BD92" s="1123"/>
      <c r="BE92" s="1123"/>
      <c r="BF92" s="1124"/>
    </row>
    <row r="93" spans="1:58" ht="12" customHeight="1" x14ac:dyDescent="0.2">
      <c r="A93" s="1111"/>
      <c r="B93" s="1112"/>
      <c r="C93" s="1112"/>
      <c r="D93" s="1112"/>
      <c r="E93" s="1112"/>
      <c r="F93" s="1112"/>
      <c r="G93" s="1112"/>
      <c r="H93" s="1112"/>
      <c r="I93" s="1112"/>
      <c r="J93" s="1112"/>
      <c r="K93" s="1112"/>
      <c r="L93" s="1112"/>
      <c r="M93" s="1112"/>
      <c r="N93" s="1112"/>
      <c r="O93" s="1112"/>
      <c r="P93" s="1112"/>
      <c r="Q93" s="1112"/>
      <c r="R93" s="1112"/>
      <c r="S93" s="1112"/>
      <c r="T93" s="1112"/>
      <c r="U93" s="1112"/>
      <c r="V93" s="1112"/>
      <c r="W93" s="1113"/>
      <c r="X93" s="1113"/>
      <c r="Y93" s="1113"/>
      <c r="Z93" s="1113"/>
      <c r="AA93" s="1113"/>
      <c r="AB93" s="1113"/>
      <c r="AC93" s="1114"/>
      <c r="AD93" s="1114"/>
      <c r="AE93" s="1114"/>
      <c r="AF93" s="1114"/>
      <c r="AG93" s="1114"/>
      <c r="AH93" s="1114"/>
      <c r="AI93" s="1114"/>
      <c r="AJ93" s="1114"/>
      <c r="AK93" s="1114"/>
      <c r="AL93" s="1114"/>
      <c r="AM93" s="1114"/>
      <c r="AN93" s="1114"/>
      <c r="AO93" s="1114"/>
      <c r="AP93" s="1114"/>
      <c r="AQ93" s="1114"/>
      <c r="AR93" s="1114"/>
      <c r="AS93" s="1114"/>
      <c r="AT93" s="1114"/>
      <c r="AU93" s="1114"/>
      <c r="AV93" s="1114"/>
      <c r="AW93" s="1114"/>
      <c r="AX93" s="1114"/>
      <c r="AY93" s="1115"/>
      <c r="AZ93" s="1116"/>
      <c r="BA93" s="1116"/>
      <c r="BB93" s="1116"/>
      <c r="BC93" s="1116"/>
      <c r="BD93" s="1116"/>
      <c r="BE93" s="1116"/>
      <c r="BF93" s="1117"/>
    </row>
    <row r="94" spans="1:58" ht="12" customHeight="1" x14ac:dyDescent="0.2">
      <c r="A94" s="1118"/>
      <c r="B94" s="1119"/>
      <c r="C94" s="1119"/>
      <c r="D94" s="1119"/>
      <c r="E94" s="1119"/>
      <c r="F94" s="1119"/>
      <c r="G94" s="1119"/>
      <c r="H94" s="1119"/>
      <c r="I94" s="1119"/>
      <c r="J94" s="1119"/>
      <c r="K94" s="1119"/>
      <c r="L94" s="1119"/>
      <c r="M94" s="1119"/>
      <c r="N94" s="1119"/>
      <c r="O94" s="1119"/>
      <c r="P94" s="1119"/>
      <c r="Q94" s="1119"/>
      <c r="R94" s="1119"/>
      <c r="S94" s="1119"/>
      <c r="T94" s="1119"/>
      <c r="U94" s="1119"/>
      <c r="V94" s="1119"/>
      <c r="W94" s="1120"/>
      <c r="X94" s="1120"/>
      <c r="Y94" s="1120"/>
      <c r="Z94" s="1120"/>
      <c r="AA94" s="1120"/>
      <c r="AB94" s="1120"/>
      <c r="AC94" s="1121"/>
      <c r="AD94" s="1121"/>
      <c r="AE94" s="1121"/>
      <c r="AF94" s="1121"/>
      <c r="AG94" s="1121"/>
      <c r="AH94" s="1121"/>
      <c r="AI94" s="1121"/>
      <c r="AJ94" s="1121"/>
      <c r="AK94" s="1121"/>
      <c r="AL94" s="1121"/>
      <c r="AM94" s="1121"/>
      <c r="AN94" s="1121"/>
      <c r="AO94" s="1121"/>
      <c r="AP94" s="1121"/>
      <c r="AQ94" s="1121"/>
      <c r="AR94" s="1121"/>
      <c r="AS94" s="1121"/>
      <c r="AT94" s="1121"/>
      <c r="AU94" s="1121"/>
      <c r="AV94" s="1121"/>
      <c r="AW94" s="1121"/>
      <c r="AX94" s="1121"/>
      <c r="AY94" s="1122"/>
      <c r="AZ94" s="1123"/>
      <c r="BA94" s="1123"/>
      <c r="BB94" s="1123"/>
      <c r="BC94" s="1123"/>
      <c r="BD94" s="1123"/>
      <c r="BE94" s="1123"/>
      <c r="BF94" s="1124"/>
    </row>
    <row r="95" spans="1:58" ht="12" customHeight="1" x14ac:dyDescent="0.2">
      <c r="A95" s="1111"/>
      <c r="B95" s="1112"/>
      <c r="C95" s="1112"/>
      <c r="D95" s="1112"/>
      <c r="E95" s="1112"/>
      <c r="F95" s="1112"/>
      <c r="G95" s="1112"/>
      <c r="H95" s="1112"/>
      <c r="I95" s="1112"/>
      <c r="J95" s="1112"/>
      <c r="K95" s="1112"/>
      <c r="L95" s="1112"/>
      <c r="M95" s="1112"/>
      <c r="N95" s="1112"/>
      <c r="O95" s="1112"/>
      <c r="P95" s="1112"/>
      <c r="Q95" s="1112"/>
      <c r="R95" s="1112"/>
      <c r="S95" s="1112"/>
      <c r="T95" s="1112"/>
      <c r="U95" s="1112"/>
      <c r="V95" s="1112"/>
      <c r="W95" s="1113"/>
      <c r="X95" s="1113"/>
      <c r="Y95" s="1113"/>
      <c r="Z95" s="1113"/>
      <c r="AA95" s="1113"/>
      <c r="AB95" s="1113"/>
      <c r="AC95" s="1114"/>
      <c r="AD95" s="1114"/>
      <c r="AE95" s="1114"/>
      <c r="AF95" s="1114"/>
      <c r="AG95" s="1114"/>
      <c r="AH95" s="1114"/>
      <c r="AI95" s="1114"/>
      <c r="AJ95" s="1114"/>
      <c r="AK95" s="1114"/>
      <c r="AL95" s="1114"/>
      <c r="AM95" s="1114"/>
      <c r="AN95" s="1114"/>
      <c r="AO95" s="1114"/>
      <c r="AP95" s="1114"/>
      <c r="AQ95" s="1114"/>
      <c r="AR95" s="1114"/>
      <c r="AS95" s="1114"/>
      <c r="AT95" s="1114"/>
      <c r="AU95" s="1114"/>
      <c r="AV95" s="1114"/>
      <c r="AW95" s="1114"/>
      <c r="AX95" s="1114"/>
      <c r="AY95" s="1115"/>
      <c r="AZ95" s="1116"/>
      <c r="BA95" s="1116"/>
      <c r="BB95" s="1116"/>
      <c r="BC95" s="1116"/>
      <c r="BD95" s="1116"/>
      <c r="BE95" s="1116"/>
      <c r="BF95" s="1117"/>
    </row>
    <row r="96" spans="1:58" ht="12" customHeight="1" x14ac:dyDescent="0.2">
      <c r="A96" s="1118"/>
      <c r="B96" s="1119"/>
      <c r="C96" s="1119"/>
      <c r="D96" s="1119"/>
      <c r="E96" s="1119"/>
      <c r="F96" s="1119"/>
      <c r="G96" s="1119"/>
      <c r="H96" s="1119"/>
      <c r="I96" s="1119"/>
      <c r="J96" s="1119"/>
      <c r="K96" s="1119"/>
      <c r="L96" s="1119"/>
      <c r="M96" s="1119"/>
      <c r="N96" s="1119"/>
      <c r="O96" s="1119"/>
      <c r="P96" s="1119"/>
      <c r="Q96" s="1119"/>
      <c r="R96" s="1119"/>
      <c r="S96" s="1119"/>
      <c r="T96" s="1119"/>
      <c r="U96" s="1119"/>
      <c r="V96" s="1119"/>
      <c r="W96" s="1120"/>
      <c r="X96" s="1120"/>
      <c r="Y96" s="1120"/>
      <c r="Z96" s="1120"/>
      <c r="AA96" s="1120"/>
      <c r="AB96" s="1120"/>
      <c r="AC96" s="1121"/>
      <c r="AD96" s="1121"/>
      <c r="AE96" s="1121"/>
      <c r="AF96" s="1121"/>
      <c r="AG96" s="1121"/>
      <c r="AH96" s="1121"/>
      <c r="AI96" s="1121"/>
      <c r="AJ96" s="1121"/>
      <c r="AK96" s="1121"/>
      <c r="AL96" s="1121"/>
      <c r="AM96" s="1121"/>
      <c r="AN96" s="1121"/>
      <c r="AO96" s="1121"/>
      <c r="AP96" s="1121"/>
      <c r="AQ96" s="1121"/>
      <c r="AR96" s="1121"/>
      <c r="AS96" s="1121"/>
      <c r="AT96" s="1121"/>
      <c r="AU96" s="1121"/>
      <c r="AV96" s="1121"/>
      <c r="AW96" s="1121"/>
      <c r="AX96" s="1121"/>
      <c r="AY96" s="1122"/>
      <c r="AZ96" s="1123"/>
      <c r="BA96" s="1123"/>
      <c r="BB96" s="1123"/>
      <c r="BC96" s="1123"/>
      <c r="BD96" s="1123"/>
      <c r="BE96" s="1123"/>
      <c r="BF96" s="1124"/>
    </row>
    <row r="97" spans="1:58" ht="12" customHeight="1" x14ac:dyDescent="0.2">
      <c r="A97" s="1111"/>
      <c r="B97" s="1112"/>
      <c r="C97" s="1112"/>
      <c r="D97" s="1112"/>
      <c r="E97" s="1112"/>
      <c r="F97" s="1112"/>
      <c r="G97" s="1112"/>
      <c r="H97" s="1112"/>
      <c r="I97" s="1112"/>
      <c r="J97" s="1112"/>
      <c r="K97" s="1112"/>
      <c r="L97" s="1112"/>
      <c r="M97" s="1112"/>
      <c r="N97" s="1112"/>
      <c r="O97" s="1112"/>
      <c r="P97" s="1112"/>
      <c r="Q97" s="1112"/>
      <c r="R97" s="1112"/>
      <c r="S97" s="1112"/>
      <c r="T97" s="1112"/>
      <c r="U97" s="1112"/>
      <c r="V97" s="1112"/>
      <c r="W97" s="1113"/>
      <c r="X97" s="1113"/>
      <c r="Y97" s="1113"/>
      <c r="Z97" s="1113"/>
      <c r="AA97" s="1113"/>
      <c r="AB97" s="1113"/>
      <c r="AC97" s="1114"/>
      <c r="AD97" s="1114"/>
      <c r="AE97" s="1114"/>
      <c r="AF97" s="1114"/>
      <c r="AG97" s="1114"/>
      <c r="AH97" s="1114"/>
      <c r="AI97" s="1114"/>
      <c r="AJ97" s="1114"/>
      <c r="AK97" s="1114"/>
      <c r="AL97" s="1114"/>
      <c r="AM97" s="1114"/>
      <c r="AN97" s="1114"/>
      <c r="AO97" s="1114"/>
      <c r="AP97" s="1114"/>
      <c r="AQ97" s="1114"/>
      <c r="AR97" s="1114"/>
      <c r="AS97" s="1114"/>
      <c r="AT97" s="1114"/>
      <c r="AU97" s="1114"/>
      <c r="AV97" s="1114"/>
      <c r="AW97" s="1114"/>
      <c r="AX97" s="1114"/>
      <c r="AY97" s="1115"/>
      <c r="AZ97" s="1116"/>
      <c r="BA97" s="1116"/>
      <c r="BB97" s="1116"/>
      <c r="BC97" s="1116"/>
      <c r="BD97" s="1116"/>
      <c r="BE97" s="1116"/>
      <c r="BF97" s="1117"/>
    </row>
    <row r="98" spans="1:58" ht="12" customHeight="1" x14ac:dyDescent="0.2">
      <c r="A98" s="1118"/>
      <c r="B98" s="1119"/>
      <c r="C98" s="1119"/>
      <c r="D98" s="1119"/>
      <c r="E98" s="1119"/>
      <c r="F98" s="1119"/>
      <c r="G98" s="1119"/>
      <c r="H98" s="1119"/>
      <c r="I98" s="1119"/>
      <c r="J98" s="1119"/>
      <c r="K98" s="1119"/>
      <c r="L98" s="1119"/>
      <c r="M98" s="1119"/>
      <c r="N98" s="1119"/>
      <c r="O98" s="1119"/>
      <c r="P98" s="1119"/>
      <c r="Q98" s="1119"/>
      <c r="R98" s="1119"/>
      <c r="S98" s="1119"/>
      <c r="T98" s="1119"/>
      <c r="U98" s="1119"/>
      <c r="V98" s="1119"/>
      <c r="W98" s="1120"/>
      <c r="X98" s="1120"/>
      <c r="Y98" s="1120"/>
      <c r="Z98" s="1120"/>
      <c r="AA98" s="1120"/>
      <c r="AB98" s="1120"/>
      <c r="AC98" s="1121"/>
      <c r="AD98" s="1121"/>
      <c r="AE98" s="1121"/>
      <c r="AF98" s="1121"/>
      <c r="AG98" s="1121"/>
      <c r="AH98" s="1121"/>
      <c r="AI98" s="1121"/>
      <c r="AJ98" s="1121"/>
      <c r="AK98" s="1121"/>
      <c r="AL98" s="1121"/>
      <c r="AM98" s="1121"/>
      <c r="AN98" s="1121"/>
      <c r="AO98" s="1121"/>
      <c r="AP98" s="1121"/>
      <c r="AQ98" s="1121"/>
      <c r="AR98" s="1121"/>
      <c r="AS98" s="1121"/>
      <c r="AT98" s="1121"/>
      <c r="AU98" s="1121"/>
      <c r="AV98" s="1121"/>
      <c r="AW98" s="1121"/>
      <c r="AX98" s="1121"/>
      <c r="AY98" s="1122"/>
      <c r="AZ98" s="1123"/>
      <c r="BA98" s="1123"/>
      <c r="BB98" s="1123"/>
      <c r="BC98" s="1123"/>
      <c r="BD98" s="1123"/>
      <c r="BE98" s="1123"/>
      <c r="BF98" s="1124"/>
    </row>
    <row r="99" spans="1:58" ht="12" customHeight="1" x14ac:dyDescent="0.2">
      <c r="A99" s="1111"/>
      <c r="B99" s="1112"/>
      <c r="C99" s="1112"/>
      <c r="D99" s="1112"/>
      <c r="E99" s="1112"/>
      <c r="F99" s="1112"/>
      <c r="G99" s="1112"/>
      <c r="H99" s="1112"/>
      <c r="I99" s="1112"/>
      <c r="J99" s="1112"/>
      <c r="K99" s="1112"/>
      <c r="L99" s="1112"/>
      <c r="M99" s="1112"/>
      <c r="N99" s="1112"/>
      <c r="O99" s="1112"/>
      <c r="P99" s="1112"/>
      <c r="Q99" s="1112"/>
      <c r="R99" s="1112"/>
      <c r="S99" s="1112"/>
      <c r="T99" s="1112"/>
      <c r="U99" s="1112"/>
      <c r="V99" s="1112"/>
      <c r="W99" s="1113"/>
      <c r="X99" s="1113"/>
      <c r="Y99" s="1113"/>
      <c r="Z99" s="1113"/>
      <c r="AA99" s="1113"/>
      <c r="AB99" s="1113"/>
      <c r="AC99" s="1114"/>
      <c r="AD99" s="1114"/>
      <c r="AE99" s="1114"/>
      <c r="AF99" s="1114"/>
      <c r="AG99" s="1114"/>
      <c r="AH99" s="1114"/>
      <c r="AI99" s="1114"/>
      <c r="AJ99" s="1114"/>
      <c r="AK99" s="1114"/>
      <c r="AL99" s="1114"/>
      <c r="AM99" s="1114"/>
      <c r="AN99" s="1114"/>
      <c r="AO99" s="1114"/>
      <c r="AP99" s="1114"/>
      <c r="AQ99" s="1114"/>
      <c r="AR99" s="1114"/>
      <c r="AS99" s="1114"/>
      <c r="AT99" s="1114"/>
      <c r="AU99" s="1114"/>
      <c r="AV99" s="1114"/>
      <c r="AW99" s="1114"/>
      <c r="AX99" s="1114"/>
      <c r="AY99" s="1115"/>
      <c r="AZ99" s="1116"/>
      <c r="BA99" s="1116"/>
      <c r="BB99" s="1116"/>
      <c r="BC99" s="1116"/>
      <c r="BD99" s="1116"/>
      <c r="BE99" s="1116"/>
      <c r="BF99" s="1117"/>
    </row>
    <row r="100" spans="1:58" ht="12" customHeight="1" x14ac:dyDescent="0.2">
      <c r="A100" s="1118"/>
      <c r="B100" s="1119"/>
      <c r="C100" s="1119"/>
      <c r="D100" s="1119"/>
      <c r="E100" s="1119"/>
      <c r="F100" s="1119"/>
      <c r="G100" s="1119"/>
      <c r="H100" s="1119"/>
      <c r="I100" s="1119"/>
      <c r="J100" s="1119"/>
      <c r="K100" s="1119"/>
      <c r="L100" s="1119"/>
      <c r="M100" s="1119"/>
      <c r="N100" s="1119"/>
      <c r="O100" s="1119"/>
      <c r="P100" s="1119"/>
      <c r="Q100" s="1119"/>
      <c r="R100" s="1119"/>
      <c r="S100" s="1119"/>
      <c r="T100" s="1119"/>
      <c r="U100" s="1119"/>
      <c r="V100" s="1119"/>
      <c r="W100" s="1120"/>
      <c r="X100" s="1120"/>
      <c r="Y100" s="1120"/>
      <c r="Z100" s="1120"/>
      <c r="AA100" s="1120"/>
      <c r="AB100" s="1120"/>
      <c r="AC100" s="1121"/>
      <c r="AD100" s="1121"/>
      <c r="AE100" s="1121"/>
      <c r="AF100" s="1121"/>
      <c r="AG100" s="1121"/>
      <c r="AH100" s="1121"/>
      <c r="AI100" s="1121"/>
      <c r="AJ100" s="1121"/>
      <c r="AK100" s="1121"/>
      <c r="AL100" s="1121"/>
      <c r="AM100" s="1121"/>
      <c r="AN100" s="1121"/>
      <c r="AO100" s="1121"/>
      <c r="AP100" s="1121"/>
      <c r="AQ100" s="1121"/>
      <c r="AR100" s="1121"/>
      <c r="AS100" s="1121"/>
      <c r="AT100" s="1121"/>
      <c r="AU100" s="1121"/>
      <c r="AV100" s="1121"/>
      <c r="AW100" s="1121"/>
      <c r="AX100" s="1121"/>
      <c r="AY100" s="1122"/>
      <c r="AZ100" s="1123"/>
      <c r="BA100" s="1123"/>
      <c r="BB100" s="1123"/>
      <c r="BC100" s="1123"/>
      <c r="BD100" s="1123"/>
      <c r="BE100" s="1123"/>
      <c r="BF100" s="1124"/>
    </row>
    <row r="101" spans="1:58" ht="12" customHeight="1" x14ac:dyDescent="0.2">
      <c r="A101" s="1111"/>
      <c r="B101" s="1112"/>
      <c r="C101" s="1112"/>
      <c r="D101" s="1112"/>
      <c r="E101" s="1112"/>
      <c r="F101" s="1112"/>
      <c r="G101" s="1112"/>
      <c r="H101" s="1112"/>
      <c r="I101" s="1112"/>
      <c r="J101" s="1112"/>
      <c r="K101" s="1112"/>
      <c r="L101" s="1112"/>
      <c r="M101" s="1112"/>
      <c r="N101" s="1112"/>
      <c r="O101" s="1112"/>
      <c r="P101" s="1112"/>
      <c r="Q101" s="1112"/>
      <c r="R101" s="1112"/>
      <c r="S101" s="1112"/>
      <c r="T101" s="1112"/>
      <c r="U101" s="1112"/>
      <c r="V101" s="1112"/>
      <c r="W101" s="1113"/>
      <c r="X101" s="1113"/>
      <c r="Y101" s="1113"/>
      <c r="Z101" s="1113"/>
      <c r="AA101" s="1113"/>
      <c r="AB101" s="1113"/>
      <c r="AC101" s="1114"/>
      <c r="AD101" s="1114"/>
      <c r="AE101" s="1114"/>
      <c r="AF101" s="1114"/>
      <c r="AG101" s="1114"/>
      <c r="AH101" s="1114"/>
      <c r="AI101" s="1114"/>
      <c r="AJ101" s="1114"/>
      <c r="AK101" s="1114"/>
      <c r="AL101" s="1114"/>
      <c r="AM101" s="1114"/>
      <c r="AN101" s="1114"/>
      <c r="AO101" s="1114"/>
      <c r="AP101" s="1114"/>
      <c r="AQ101" s="1114"/>
      <c r="AR101" s="1114"/>
      <c r="AS101" s="1114"/>
      <c r="AT101" s="1114"/>
      <c r="AU101" s="1114"/>
      <c r="AV101" s="1114"/>
      <c r="AW101" s="1114"/>
      <c r="AX101" s="1114"/>
      <c r="AY101" s="1115"/>
      <c r="AZ101" s="1116"/>
      <c r="BA101" s="1116"/>
      <c r="BB101" s="1116"/>
      <c r="BC101" s="1116"/>
      <c r="BD101" s="1116"/>
      <c r="BE101" s="1116"/>
      <c r="BF101" s="1117"/>
    </row>
    <row r="102" spans="1:58" ht="12" customHeight="1" x14ac:dyDescent="0.2">
      <c r="A102" s="1118"/>
      <c r="B102" s="1119"/>
      <c r="C102" s="1119"/>
      <c r="D102" s="1119"/>
      <c r="E102" s="1119"/>
      <c r="F102" s="1119"/>
      <c r="G102" s="1119"/>
      <c r="H102" s="1119"/>
      <c r="I102" s="1119"/>
      <c r="J102" s="1119"/>
      <c r="K102" s="1119"/>
      <c r="L102" s="1119"/>
      <c r="M102" s="1119"/>
      <c r="N102" s="1119"/>
      <c r="O102" s="1119"/>
      <c r="P102" s="1119"/>
      <c r="Q102" s="1119"/>
      <c r="R102" s="1119"/>
      <c r="S102" s="1119"/>
      <c r="T102" s="1119"/>
      <c r="U102" s="1119"/>
      <c r="V102" s="1119"/>
      <c r="W102" s="1120"/>
      <c r="X102" s="1120"/>
      <c r="Y102" s="1120"/>
      <c r="Z102" s="1120"/>
      <c r="AA102" s="1120"/>
      <c r="AB102" s="1120"/>
      <c r="AC102" s="1121"/>
      <c r="AD102" s="1121"/>
      <c r="AE102" s="1121"/>
      <c r="AF102" s="1121"/>
      <c r="AG102" s="1121"/>
      <c r="AH102" s="1121"/>
      <c r="AI102" s="1121"/>
      <c r="AJ102" s="1121"/>
      <c r="AK102" s="1121"/>
      <c r="AL102" s="1121"/>
      <c r="AM102" s="1121"/>
      <c r="AN102" s="1121"/>
      <c r="AO102" s="1121"/>
      <c r="AP102" s="1121"/>
      <c r="AQ102" s="1121"/>
      <c r="AR102" s="1121"/>
      <c r="AS102" s="1121"/>
      <c r="AT102" s="1121"/>
      <c r="AU102" s="1121"/>
      <c r="AV102" s="1121"/>
      <c r="AW102" s="1121"/>
      <c r="AX102" s="1121"/>
      <c r="AY102" s="1122"/>
      <c r="AZ102" s="1123"/>
      <c r="BA102" s="1123"/>
      <c r="BB102" s="1123"/>
      <c r="BC102" s="1123"/>
      <c r="BD102" s="1123"/>
      <c r="BE102" s="1123"/>
      <c r="BF102" s="1124"/>
    </row>
    <row r="103" spans="1:58" ht="12" customHeight="1" x14ac:dyDescent="0.2">
      <c r="A103" s="1111"/>
      <c r="B103" s="1112"/>
      <c r="C103" s="1112"/>
      <c r="D103" s="1112"/>
      <c r="E103" s="1112"/>
      <c r="F103" s="1112"/>
      <c r="G103" s="1112"/>
      <c r="H103" s="1112"/>
      <c r="I103" s="1112"/>
      <c r="J103" s="1112"/>
      <c r="K103" s="1112"/>
      <c r="L103" s="1112"/>
      <c r="M103" s="1112"/>
      <c r="N103" s="1112"/>
      <c r="O103" s="1112"/>
      <c r="P103" s="1112"/>
      <c r="Q103" s="1112"/>
      <c r="R103" s="1112"/>
      <c r="S103" s="1112"/>
      <c r="T103" s="1112"/>
      <c r="U103" s="1112"/>
      <c r="V103" s="1112"/>
      <c r="W103" s="1113"/>
      <c r="X103" s="1113"/>
      <c r="Y103" s="1113"/>
      <c r="Z103" s="1113"/>
      <c r="AA103" s="1113"/>
      <c r="AB103" s="1113"/>
      <c r="AC103" s="1114"/>
      <c r="AD103" s="1114"/>
      <c r="AE103" s="1114"/>
      <c r="AF103" s="1114"/>
      <c r="AG103" s="1114"/>
      <c r="AH103" s="1114"/>
      <c r="AI103" s="1114"/>
      <c r="AJ103" s="1114"/>
      <c r="AK103" s="1114"/>
      <c r="AL103" s="1114"/>
      <c r="AM103" s="1114"/>
      <c r="AN103" s="1114"/>
      <c r="AO103" s="1114"/>
      <c r="AP103" s="1114"/>
      <c r="AQ103" s="1114"/>
      <c r="AR103" s="1114"/>
      <c r="AS103" s="1114"/>
      <c r="AT103" s="1114"/>
      <c r="AU103" s="1114"/>
      <c r="AV103" s="1114"/>
      <c r="AW103" s="1114"/>
      <c r="AX103" s="1114"/>
      <c r="AY103" s="1115"/>
      <c r="AZ103" s="1116"/>
      <c r="BA103" s="1116"/>
      <c r="BB103" s="1116"/>
      <c r="BC103" s="1116"/>
      <c r="BD103" s="1116"/>
      <c r="BE103" s="1116"/>
      <c r="BF103" s="1117"/>
    </row>
    <row r="104" spans="1:58" ht="12" customHeight="1" x14ac:dyDescent="0.2">
      <c r="A104" s="1118"/>
      <c r="B104" s="1119"/>
      <c r="C104" s="1119"/>
      <c r="D104" s="1119"/>
      <c r="E104" s="1119"/>
      <c r="F104" s="1119"/>
      <c r="G104" s="1119"/>
      <c r="H104" s="1119"/>
      <c r="I104" s="1119"/>
      <c r="J104" s="1119"/>
      <c r="K104" s="1119"/>
      <c r="L104" s="1119"/>
      <c r="M104" s="1119"/>
      <c r="N104" s="1119"/>
      <c r="O104" s="1119"/>
      <c r="P104" s="1119"/>
      <c r="Q104" s="1119"/>
      <c r="R104" s="1119"/>
      <c r="S104" s="1119"/>
      <c r="T104" s="1119"/>
      <c r="U104" s="1119"/>
      <c r="V104" s="1119"/>
      <c r="W104" s="1120"/>
      <c r="X104" s="1120"/>
      <c r="Y104" s="1120"/>
      <c r="Z104" s="1120"/>
      <c r="AA104" s="1120"/>
      <c r="AB104" s="1120"/>
      <c r="AC104" s="1121"/>
      <c r="AD104" s="1121"/>
      <c r="AE104" s="1121"/>
      <c r="AF104" s="1121"/>
      <c r="AG104" s="1121"/>
      <c r="AH104" s="1121"/>
      <c r="AI104" s="1121"/>
      <c r="AJ104" s="1121"/>
      <c r="AK104" s="1121"/>
      <c r="AL104" s="1121"/>
      <c r="AM104" s="1121"/>
      <c r="AN104" s="1121"/>
      <c r="AO104" s="1121"/>
      <c r="AP104" s="1121"/>
      <c r="AQ104" s="1121"/>
      <c r="AR104" s="1121"/>
      <c r="AS104" s="1121"/>
      <c r="AT104" s="1121"/>
      <c r="AU104" s="1121"/>
      <c r="AV104" s="1121"/>
      <c r="AW104" s="1121"/>
      <c r="AX104" s="1121"/>
      <c r="AY104" s="1122"/>
      <c r="AZ104" s="1123"/>
      <c r="BA104" s="1123"/>
      <c r="BB104" s="1123"/>
      <c r="BC104" s="1123"/>
      <c r="BD104" s="1123"/>
      <c r="BE104" s="1123"/>
      <c r="BF104" s="1124"/>
    </row>
    <row r="105" spans="1:58" ht="12" customHeight="1" x14ac:dyDescent="0.2">
      <c r="A105" s="1111"/>
      <c r="B105" s="1112"/>
      <c r="C105" s="1112"/>
      <c r="D105" s="1112"/>
      <c r="E105" s="1112"/>
      <c r="F105" s="1112"/>
      <c r="G105" s="1112"/>
      <c r="H105" s="1112"/>
      <c r="I105" s="1112"/>
      <c r="J105" s="1112"/>
      <c r="K105" s="1112"/>
      <c r="L105" s="1112"/>
      <c r="M105" s="1112"/>
      <c r="N105" s="1112"/>
      <c r="O105" s="1112"/>
      <c r="P105" s="1112"/>
      <c r="Q105" s="1112"/>
      <c r="R105" s="1112"/>
      <c r="S105" s="1112"/>
      <c r="T105" s="1112"/>
      <c r="U105" s="1112"/>
      <c r="V105" s="1112"/>
      <c r="W105" s="1113"/>
      <c r="X105" s="1113"/>
      <c r="Y105" s="1113"/>
      <c r="Z105" s="1113"/>
      <c r="AA105" s="1113"/>
      <c r="AB105" s="1113"/>
      <c r="AC105" s="1114"/>
      <c r="AD105" s="1114"/>
      <c r="AE105" s="1114"/>
      <c r="AF105" s="1114"/>
      <c r="AG105" s="1114"/>
      <c r="AH105" s="1114"/>
      <c r="AI105" s="1114"/>
      <c r="AJ105" s="1114"/>
      <c r="AK105" s="1114"/>
      <c r="AL105" s="1114"/>
      <c r="AM105" s="1114"/>
      <c r="AN105" s="1114"/>
      <c r="AO105" s="1114"/>
      <c r="AP105" s="1114"/>
      <c r="AQ105" s="1114"/>
      <c r="AR105" s="1114"/>
      <c r="AS105" s="1114"/>
      <c r="AT105" s="1114"/>
      <c r="AU105" s="1114"/>
      <c r="AV105" s="1114"/>
      <c r="AW105" s="1114"/>
      <c r="AX105" s="1114"/>
      <c r="AY105" s="1115"/>
      <c r="AZ105" s="1116"/>
      <c r="BA105" s="1116"/>
      <c r="BB105" s="1116"/>
      <c r="BC105" s="1116"/>
      <c r="BD105" s="1116"/>
      <c r="BE105" s="1116"/>
      <c r="BF105" s="1117"/>
    </row>
    <row r="106" spans="1:58" ht="12" customHeight="1" x14ac:dyDescent="0.2">
      <c r="A106" s="1118"/>
      <c r="B106" s="1119"/>
      <c r="C106" s="1119"/>
      <c r="D106" s="1119"/>
      <c r="E106" s="1119"/>
      <c r="F106" s="1119"/>
      <c r="G106" s="1119"/>
      <c r="H106" s="1119"/>
      <c r="I106" s="1119"/>
      <c r="J106" s="1119"/>
      <c r="K106" s="1119"/>
      <c r="L106" s="1119"/>
      <c r="M106" s="1119"/>
      <c r="N106" s="1119"/>
      <c r="O106" s="1119"/>
      <c r="P106" s="1119"/>
      <c r="Q106" s="1119"/>
      <c r="R106" s="1119"/>
      <c r="S106" s="1119"/>
      <c r="T106" s="1119"/>
      <c r="U106" s="1119"/>
      <c r="V106" s="1119"/>
      <c r="W106" s="1120"/>
      <c r="X106" s="1120"/>
      <c r="Y106" s="1120"/>
      <c r="Z106" s="1120"/>
      <c r="AA106" s="1120"/>
      <c r="AB106" s="1120"/>
      <c r="AC106" s="1121"/>
      <c r="AD106" s="1121"/>
      <c r="AE106" s="1121"/>
      <c r="AF106" s="1121"/>
      <c r="AG106" s="1121"/>
      <c r="AH106" s="1121"/>
      <c r="AI106" s="1121"/>
      <c r="AJ106" s="1121"/>
      <c r="AK106" s="1121"/>
      <c r="AL106" s="1121"/>
      <c r="AM106" s="1121"/>
      <c r="AN106" s="1121"/>
      <c r="AO106" s="1121"/>
      <c r="AP106" s="1121"/>
      <c r="AQ106" s="1121"/>
      <c r="AR106" s="1121"/>
      <c r="AS106" s="1121"/>
      <c r="AT106" s="1121"/>
      <c r="AU106" s="1121"/>
      <c r="AV106" s="1121"/>
      <c r="AW106" s="1121"/>
      <c r="AX106" s="1121"/>
      <c r="AY106" s="1122"/>
      <c r="AZ106" s="1123"/>
      <c r="BA106" s="1123"/>
      <c r="BB106" s="1123"/>
      <c r="BC106" s="1123"/>
      <c r="BD106" s="1123"/>
      <c r="BE106" s="1123"/>
      <c r="BF106" s="1124"/>
    </row>
    <row r="107" spans="1:58" ht="12" customHeight="1" x14ac:dyDescent="0.2">
      <c r="A107" s="1111"/>
      <c r="B107" s="1112"/>
      <c r="C107" s="1112"/>
      <c r="D107" s="1112"/>
      <c r="E107" s="1112"/>
      <c r="F107" s="1112"/>
      <c r="G107" s="1112"/>
      <c r="H107" s="1112"/>
      <c r="I107" s="1112"/>
      <c r="J107" s="1112"/>
      <c r="K107" s="1112"/>
      <c r="L107" s="1112"/>
      <c r="M107" s="1112"/>
      <c r="N107" s="1112"/>
      <c r="O107" s="1112"/>
      <c r="P107" s="1112"/>
      <c r="Q107" s="1112"/>
      <c r="R107" s="1112"/>
      <c r="S107" s="1112"/>
      <c r="T107" s="1112"/>
      <c r="U107" s="1112"/>
      <c r="V107" s="1112"/>
      <c r="W107" s="1113"/>
      <c r="X107" s="1113"/>
      <c r="Y107" s="1113"/>
      <c r="Z107" s="1113"/>
      <c r="AA107" s="1113"/>
      <c r="AB107" s="1113"/>
      <c r="AC107" s="1114"/>
      <c r="AD107" s="1114"/>
      <c r="AE107" s="1114"/>
      <c r="AF107" s="1114"/>
      <c r="AG107" s="1114"/>
      <c r="AH107" s="1114"/>
      <c r="AI107" s="1114"/>
      <c r="AJ107" s="1114"/>
      <c r="AK107" s="1114"/>
      <c r="AL107" s="1114"/>
      <c r="AM107" s="1114"/>
      <c r="AN107" s="1114"/>
      <c r="AO107" s="1114"/>
      <c r="AP107" s="1114"/>
      <c r="AQ107" s="1114"/>
      <c r="AR107" s="1114"/>
      <c r="AS107" s="1114"/>
      <c r="AT107" s="1114"/>
      <c r="AU107" s="1114"/>
      <c r="AV107" s="1114"/>
      <c r="AW107" s="1114"/>
      <c r="AX107" s="1114"/>
      <c r="AY107" s="1115"/>
      <c r="AZ107" s="1116"/>
      <c r="BA107" s="1116"/>
      <c r="BB107" s="1116"/>
      <c r="BC107" s="1116"/>
      <c r="BD107" s="1116"/>
      <c r="BE107" s="1116"/>
      <c r="BF107" s="1117"/>
    </row>
    <row r="108" spans="1:58" ht="12" customHeight="1" x14ac:dyDescent="0.2">
      <c r="A108" s="1118"/>
      <c r="B108" s="1119"/>
      <c r="C108" s="1119"/>
      <c r="D108" s="1119"/>
      <c r="E108" s="1119"/>
      <c r="F108" s="1119"/>
      <c r="G108" s="1119"/>
      <c r="H108" s="1119"/>
      <c r="I108" s="1119"/>
      <c r="J108" s="1119"/>
      <c r="K108" s="1119"/>
      <c r="L108" s="1119"/>
      <c r="M108" s="1119"/>
      <c r="N108" s="1119"/>
      <c r="O108" s="1119"/>
      <c r="P108" s="1119"/>
      <c r="Q108" s="1119"/>
      <c r="R108" s="1119"/>
      <c r="S108" s="1119"/>
      <c r="T108" s="1119"/>
      <c r="U108" s="1119"/>
      <c r="V108" s="1119"/>
      <c r="W108" s="1120"/>
      <c r="X108" s="1120"/>
      <c r="Y108" s="1120"/>
      <c r="Z108" s="1120"/>
      <c r="AA108" s="1120"/>
      <c r="AB108" s="1120"/>
      <c r="AC108" s="1121"/>
      <c r="AD108" s="1121"/>
      <c r="AE108" s="1121"/>
      <c r="AF108" s="1121"/>
      <c r="AG108" s="1121"/>
      <c r="AH108" s="1121"/>
      <c r="AI108" s="1121"/>
      <c r="AJ108" s="1121"/>
      <c r="AK108" s="1121"/>
      <c r="AL108" s="1121"/>
      <c r="AM108" s="1121"/>
      <c r="AN108" s="1121"/>
      <c r="AO108" s="1121"/>
      <c r="AP108" s="1121"/>
      <c r="AQ108" s="1121"/>
      <c r="AR108" s="1121"/>
      <c r="AS108" s="1121"/>
      <c r="AT108" s="1121"/>
      <c r="AU108" s="1121"/>
      <c r="AV108" s="1121"/>
      <c r="AW108" s="1121"/>
      <c r="AX108" s="1121"/>
      <c r="AY108" s="1122"/>
      <c r="AZ108" s="1123"/>
      <c r="BA108" s="1123"/>
      <c r="BB108" s="1123"/>
      <c r="BC108" s="1123"/>
      <c r="BD108" s="1123"/>
      <c r="BE108" s="1123"/>
      <c r="BF108" s="1124"/>
    </row>
    <row r="109" spans="1:58" ht="12" customHeight="1" x14ac:dyDescent="0.2">
      <c r="A109" s="1111"/>
      <c r="B109" s="1112"/>
      <c r="C109" s="1112"/>
      <c r="D109" s="1112"/>
      <c r="E109" s="1112"/>
      <c r="F109" s="1112"/>
      <c r="G109" s="1112"/>
      <c r="H109" s="1112"/>
      <c r="I109" s="1112"/>
      <c r="J109" s="1112"/>
      <c r="K109" s="1112"/>
      <c r="L109" s="1112"/>
      <c r="M109" s="1112"/>
      <c r="N109" s="1112"/>
      <c r="O109" s="1112"/>
      <c r="P109" s="1112"/>
      <c r="Q109" s="1112"/>
      <c r="R109" s="1112"/>
      <c r="S109" s="1112"/>
      <c r="T109" s="1112"/>
      <c r="U109" s="1112"/>
      <c r="V109" s="1112"/>
      <c r="W109" s="1113"/>
      <c r="X109" s="1113"/>
      <c r="Y109" s="1113"/>
      <c r="Z109" s="1113"/>
      <c r="AA109" s="1113"/>
      <c r="AB109" s="1113"/>
      <c r="AC109" s="1114"/>
      <c r="AD109" s="1114"/>
      <c r="AE109" s="1114"/>
      <c r="AF109" s="1114"/>
      <c r="AG109" s="1114"/>
      <c r="AH109" s="1114"/>
      <c r="AI109" s="1114"/>
      <c r="AJ109" s="1114"/>
      <c r="AK109" s="1114"/>
      <c r="AL109" s="1114"/>
      <c r="AM109" s="1114"/>
      <c r="AN109" s="1114"/>
      <c r="AO109" s="1114"/>
      <c r="AP109" s="1114"/>
      <c r="AQ109" s="1114"/>
      <c r="AR109" s="1114"/>
      <c r="AS109" s="1114"/>
      <c r="AT109" s="1114"/>
      <c r="AU109" s="1114"/>
      <c r="AV109" s="1114"/>
      <c r="AW109" s="1114"/>
      <c r="AX109" s="1114"/>
      <c r="AY109" s="1115"/>
      <c r="AZ109" s="1116"/>
      <c r="BA109" s="1116"/>
      <c r="BB109" s="1116"/>
      <c r="BC109" s="1116"/>
      <c r="BD109" s="1116"/>
      <c r="BE109" s="1116"/>
      <c r="BF109" s="1117"/>
    </row>
    <row r="110" spans="1:58" ht="12" customHeight="1" x14ac:dyDescent="0.2">
      <c r="A110" s="1118"/>
      <c r="B110" s="1119"/>
      <c r="C110" s="1119"/>
      <c r="D110" s="1119"/>
      <c r="E110" s="1119"/>
      <c r="F110" s="1119"/>
      <c r="G110" s="1119"/>
      <c r="H110" s="1119"/>
      <c r="I110" s="1119"/>
      <c r="J110" s="1119"/>
      <c r="K110" s="1119"/>
      <c r="L110" s="1119"/>
      <c r="M110" s="1119"/>
      <c r="N110" s="1119"/>
      <c r="O110" s="1119"/>
      <c r="P110" s="1119"/>
      <c r="Q110" s="1119"/>
      <c r="R110" s="1119"/>
      <c r="S110" s="1119"/>
      <c r="T110" s="1119"/>
      <c r="U110" s="1119"/>
      <c r="V110" s="1119"/>
      <c r="W110" s="1120"/>
      <c r="X110" s="1120"/>
      <c r="Y110" s="1120"/>
      <c r="Z110" s="1120"/>
      <c r="AA110" s="1120"/>
      <c r="AB110" s="1120"/>
      <c r="AC110" s="1121"/>
      <c r="AD110" s="1121"/>
      <c r="AE110" s="1121"/>
      <c r="AF110" s="1121"/>
      <c r="AG110" s="1121"/>
      <c r="AH110" s="1121"/>
      <c r="AI110" s="1121"/>
      <c r="AJ110" s="1121"/>
      <c r="AK110" s="1121"/>
      <c r="AL110" s="1121"/>
      <c r="AM110" s="1121"/>
      <c r="AN110" s="1121"/>
      <c r="AO110" s="1121"/>
      <c r="AP110" s="1121"/>
      <c r="AQ110" s="1121"/>
      <c r="AR110" s="1121"/>
      <c r="AS110" s="1121"/>
      <c r="AT110" s="1121"/>
      <c r="AU110" s="1121"/>
      <c r="AV110" s="1121"/>
      <c r="AW110" s="1121"/>
      <c r="AX110" s="1121"/>
      <c r="AY110" s="1122"/>
      <c r="AZ110" s="1123"/>
      <c r="BA110" s="1123"/>
      <c r="BB110" s="1123"/>
      <c r="BC110" s="1123"/>
      <c r="BD110" s="1123"/>
      <c r="BE110" s="1123"/>
      <c r="BF110" s="1124"/>
    </row>
    <row r="111" spans="1:58" ht="12" customHeight="1" x14ac:dyDescent="0.2">
      <c r="A111" s="1111"/>
      <c r="B111" s="1112"/>
      <c r="C111" s="1112"/>
      <c r="D111" s="1112"/>
      <c r="E111" s="1112"/>
      <c r="F111" s="1112"/>
      <c r="G111" s="1112"/>
      <c r="H111" s="1112"/>
      <c r="I111" s="1112"/>
      <c r="J111" s="1112"/>
      <c r="K111" s="1112"/>
      <c r="L111" s="1112"/>
      <c r="M111" s="1112"/>
      <c r="N111" s="1112"/>
      <c r="O111" s="1112"/>
      <c r="P111" s="1112"/>
      <c r="Q111" s="1112"/>
      <c r="R111" s="1112"/>
      <c r="S111" s="1112"/>
      <c r="T111" s="1112"/>
      <c r="U111" s="1112"/>
      <c r="V111" s="1112"/>
      <c r="W111" s="1113"/>
      <c r="X111" s="1113"/>
      <c r="Y111" s="1113"/>
      <c r="Z111" s="1113"/>
      <c r="AA111" s="1113"/>
      <c r="AB111" s="1113"/>
      <c r="AC111" s="1114"/>
      <c r="AD111" s="1114"/>
      <c r="AE111" s="1114"/>
      <c r="AF111" s="1114"/>
      <c r="AG111" s="1114"/>
      <c r="AH111" s="1114"/>
      <c r="AI111" s="1114"/>
      <c r="AJ111" s="1114"/>
      <c r="AK111" s="1114"/>
      <c r="AL111" s="1114"/>
      <c r="AM111" s="1114"/>
      <c r="AN111" s="1114"/>
      <c r="AO111" s="1114"/>
      <c r="AP111" s="1114"/>
      <c r="AQ111" s="1114"/>
      <c r="AR111" s="1114"/>
      <c r="AS111" s="1114"/>
      <c r="AT111" s="1114"/>
      <c r="AU111" s="1114"/>
      <c r="AV111" s="1114"/>
      <c r="AW111" s="1114"/>
      <c r="AX111" s="1114"/>
      <c r="AY111" s="1115"/>
      <c r="AZ111" s="1116"/>
      <c r="BA111" s="1116"/>
      <c r="BB111" s="1116"/>
      <c r="BC111" s="1116"/>
      <c r="BD111" s="1116"/>
      <c r="BE111" s="1116"/>
      <c r="BF111" s="1117"/>
    </row>
    <row r="112" spans="1:58" ht="12" customHeight="1" x14ac:dyDescent="0.2">
      <c r="A112" s="1118"/>
      <c r="B112" s="1119"/>
      <c r="C112" s="1119"/>
      <c r="D112" s="1119"/>
      <c r="E112" s="1119"/>
      <c r="F112" s="1119"/>
      <c r="G112" s="1119"/>
      <c r="H112" s="1119"/>
      <c r="I112" s="1119"/>
      <c r="J112" s="1119"/>
      <c r="K112" s="1119"/>
      <c r="L112" s="1119"/>
      <c r="M112" s="1119"/>
      <c r="N112" s="1119"/>
      <c r="O112" s="1119"/>
      <c r="P112" s="1119"/>
      <c r="Q112" s="1119"/>
      <c r="R112" s="1119"/>
      <c r="S112" s="1119"/>
      <c r="T112" s="1119"/>
      <c r="U112" s="1119"/>
      <c r="V112" s="1119"/>
      <c r="W112" s="1120"/>
      <c r="X112" s="1120"/>
      <c r="Y112" s="1120"/>
      <c r="Z112" s="1120"/>
      <c r="AA112" s="1120"/>
      <c r="AB112" s="1120"/>
      <c r="AC112" s="1121"/>
      <c r="AD112" s="1121"/>
      <c r="AE112" s="1121"/>
      <c r="AF112" s="1121"/>
      <c r="AG112" s="1121"/>
      <c r="AH112" s="1121"/>
      <c r="AI112" s="1121"/>
      <c r="AJ112" s="1121"/>
      <c r="AK112" s="1121"/>
      <c r="AL112" s="1121"/>
      <c r="AM112" s="1121"/>
      <c r="AN112" s="1121"/>
      <c r="AO112" s="1121"/>
      <c r="AP112" s="1121"/>
      <c r="AQ112" s="1121"/>
      <c r="AR112" s="1121"/>
      <c r="AS112" s="1121"/>
      <c r="AT112" s="1121"/>
      <c r="AU112" s="1121"/>
      <c r="AV112" s="1121"/>
      <c r="AW112" s="1121"/>
      <c r="AX112" s="1121"/>
      <c r="AY112" s="1122"/>
      <c r="AZ112" s="1123"/>
      <c r="BA112" s="1123"/>
      <c r="BB112" s="1123"/>
      <c r="BC112" s="1123"/>
      <c r="BD112" s="1123"/>
      <c r="BE112" s="1123"/>
      <c r="BF112" s="1124"/>
    </row>
    <row r="113" spans="1:58" ht="12" customHeight="1" x14ac:dyDescent="0.2">
      <c r="A113" s="1111"/>
      <c r="B113" s="1112"/>
      <c r="C113" s="1112"/>
      <c r="D113" s="1112"/>
      <c r="E113" s="1112"/>
      <c r="F113" s="1112"/>
      <c r="G113" s="1112"/>
      <c r="H113" s="1112"/>
      <c r="I113" s="1112"/>
      <c r="J113" s="1112"/>
      <c r="K113" s="1112"/>
      <c r="L113" s="1112"/>
      <c r="M113" s="1112"/>
      <c r="N113" s="1112"/>
      <c r="O113" s="1112"/>
      <c r="P113" s="1112"/>
      <c r="Q113" s="1112"/>
      <c r="R113" s="1112"/>
      <c r="S113" s="1112"/>
      <c r="T113" s="1112"/>
      <c r="U113" s="1112"/>
      <c r="V113" s="1112"/>
      <c r="W113" s="1113"/>
      <c r="X113" s="1113"/>
      <c r="Y113" s="1113"/>
      <c r="Z113" s="1113"/>
      <c r="AA113" s="1113"/>
      <c r="AB113" s="1113"/>
      <c r="AC113" s="1114"/>
      <c r="AD113" s="1114"/>
      <c r="AE113" s="1114"/>
      <c r="AF113" s="1114"/>
      <c r="AG113" s="1114"/>
      <c r="AH113" s="1114"/>
      <c r="AI113" s="1114"/>
      <c r="AJ113" s="1114"/>
      <c r="AK113" s="1114"/>
      <c r="AL113" s="1114"/>
      <c r="AM113" s="1114"/>
      <c r="AN113" s="1114"/>
      <c r="AO113" s="1114"/>
      <c r="AP113" s="1114"/>
      <c r="AQ113" s="1114"/>
      <c r="AR113" s="1114"/>
      <c r="AS113" s="1114"/>
      <c r="AT113" s="1114"/>
      <c r="AU113" s="1114"/>
      <c r="AV113" s="1114"/>
      <c r="AW113" s="1114"/>
      <c r="AX113" s="1114"/>
      <c r="AY113" s="1115"/>
      <c r="AZ113" s="1116"/>
      <c r="BA113" s="1116"/>
      <c r="BB113" s="1116"/>
      <c r="BC113" s="1116"/>
      <c r="BD113" s="1116"/>
      <c r="BE113" s="1116"/>
      <c r="BF113" s="1117"/>
    </row>
    <row r="114" spans="1:58" ht="12" customHeight="1" x14ac:dyDescent="0.2">
      <c r="A114" s="1118"/>
      <c r="B114" s="1119"/>
      <c r="C114" s="1119"/>
      <c r="D114" s="1119"/>
      <c r="E114" s="1119"/>
      <c r="F114" s="1119"/>
      <c r="G114" s="1119"/>
      <c r="H114" s="1119"/>
      <c r="I114" s="1119"/>
      <c r="J114" s="1119"/>
      <c r="K114" s="1119"/>
      <c r="L114" s="1119"/>
      <c r="M114" s="1119"/>
      <c r="N114" s="1119"/>
      <c r="O114" s="1119"/>
      <c r="P114" s="1119"/>
      <c r="Q114" s="1119"/>
      <c r="R114" s="1119"/>
      <c r="S114" s="1119"/>
      <c r="T114" s="1119"/>
      <c r="U114" s="1119"/>
      <c r="V114" s="1119"/>
      <c r="W114" s="1120"/>
      <c r="X114" s="1120"/>
      <c r="Y114" s="1120"/>
      <c r="Z114" s="1120"/>
      <c r="AA114" s="1120"/>
      <c r="AB114" s="1120"/>
      <c r="AC114" s="1121"/>
      <c r="AD114" s="1121"/>
      <c r="AE114" s="1121"/>
      <c r="AF114" s="1121"/>
      <c r="AG114" s="1121"/>
      <c r="AH114" s="1121"/>
      <c r="AI114" s="1121"/>
      <c r="AJ114" s="1121"/>
      <c r="AK114" s="1121"/>
      <c r="AL114" s="1121"/>
      <c r="AM114" s="1121"/>
      <c r="AN114" s="1121"/>
      <c r="AO114" s="1121"/>
      <c r="AP114" s="1121"/>
      <c r="AQ114" s="1121"/>
      <c r="AR114" s="1121"/>
      <c r="AS114" s="1121"/>
      <c r="AT114" s="1121"/>
      <c r="AU114" s="1121"/>
      <c r="AV114" s="1121"/>
      <c r="AW114" s="1121"/>
      <c r="AX114" s="1121"/>
      <c r="AY114" s="1122"/>
      <c r="AZ114" s="1123"/>
      <c r="BA114" s="1123"/>
      <c r="BB114" s="1123"/>
      <c r="BC114" s="1123"/>
      <c r="BD114" s="1123"/>
      <c r="BE114" s="1123"/>
      <c r="BF114" s="1124"/>
    </row>
    <row r="115" spans="1:58" ht="12" customHeight="1" x14ac:dyDescent="0.2">
      <c r="A115" s="1111"/>
      <c r="B115" s="1112"/>
      <c r="C115" s="1112"/>
      <c r="D115" s="1112"/>
      <c r="E115" s="1112"/>
      <c r="F115" s="1112"/>
      <c r="G115" s="1112"/>
      <c r="H115" s="1112"/>
      <c r="I115" s="1112"/>
      <c r="J115" s="1112"/>
      <c r="K115" s="1112"/>
      <c r="L115" s="1112"/>
      <c r="M115" s="1112"/>
      <c r="N115" s="1112"/>
      <c r="O115" s="1112"/>
      <c r="P115" s="1112"/>
      <c r="Q115" s="1112"/>
      <c r="R115" s="1112"/>
      <c r="S115" s="1112"/>
      <c r="T115" s="1112"/>
      <c r="U115" s="1112"/>
      <c r="V115" s="1112"/>
      <c r="W115" s="1113"/>
      <c r="X115" s="1113"/>
      <c r="Y115" s="1113"/>
      <c r="Z115" s="1113"/>
      <c r="AA115" s="1113"/>
      <c r="AB115" s="1113"/>
      <c r="AC115" s="1114"/>
      <c r="AD115" s="1114"/>
      <c r="AE115" s="1114"/>
      <c r="AF115" s="1114"/>
      <c r="AG115" s="1114"/>
      <c r="AH115" s="1114"/>
      <c r="AI115" s="1114"/>
      <c r="AJ115" s="1114"/>
      <c r="AK115" s="1114"/>
      <c r="AL115" s="1114"/>
      <c r="AM115" s="1114"/>
      <c r="AN115" s="1114"/>
      <c r="AO115" s="1114"/>
      <c r="AP115" s="1114"/>
      <c r="AQ115" s="1114"/>
      <c r="AR115" s="1114"/>
      <c r="AS115" s="1114"/>
      <c r="AT115" s="1114"/>
      <c r="AU115" s="1114"/>
      <c r="AV115" s="1114"/>
      <c r="AW115" s="1114"/>
      <c r="AX115" s="1114"/>
      <c r="AY115" s="1115"/>
      <c r="AZ115" s="1116"/>
      <c r="BA115" s="1116"/>
      <c r="BB115" s="1116"/>
      <c r="BC115" s="1116"/>
      <c r="BD115" s="1116"/>
      <c r="BE115" s="1116"/>
      <c r="BF115" s="1117"/>
    </row>
    <row r="116" spans="1:58" ht="12" customHeight="1" x14ac:dyDescent="0.2">
      <c r="A116" s="1118"/>
      <c r="B116" s="1119"/>
      <c r="C116" s="1119"/>
      <c r="D116" s="1119"/>
      <c r="E116" s="1119"/>
      <c r="F116" s="1119"/>
      <c r="G116" s="1119"/>
      <c r="H116" s="1119"/>
      <c r="I116" s="1119"/>
      <c r="J116" s="1119"/>
      <c r="K116" s="1119"/>
      <c r="L116" s="1119"/>
      <c r="M116" s="1119"/>
      <c r="N116" s="1119"/>
      <c r="O116" s="1119"/>
      <c r="P116" s="1119"/>
      <c r="Q116" s="1119"/>
      <c r="R116" s="1119"/>
      <c r="S116" s="1119"/>
      <c r="T116" s="1119"/>
      <c r="U116" s="1119"/>
      <c r="V116" s="1119"/>
      <c r="W116" s="1120"/>
      <c r="X116" s="1120"/>
      <c r="Y116" s="1120"/>
      <c r="Z116" s="1120"/>
      <c r="AA116" s="1120"/>
      <c r="AB116" s="1120"/>
      <c r="AC116" s="1121"/>
      <c r="AD116" s="1121"/>
      <c r="AE116" s="1121"/>
      <c r="AF116" s="1121"/>
      <c r="AG116" s="1121"/>
      <c r="AH116" s="1121"/>
      <c r="AI116" s="1121"/>
      <c r="AJ116" s="1121"/>
      <c r="AK116" s="1121"/>
      <c r="AL116" s="1121"/>
      <c r="AM116" s="1121"/>
      <c r="AN116" s="1121"/>
      <c r="AO116" s="1121"/>
      <c r="AP116" s="1121"/>
      <c r="AQ116" s="1121"/>
      <c r="AR116" s="1121"/>
      <c r="AS116" s="1121"/>
      <c r="AT116" s="1121"/>
      <c r="AU116" s="1121"/>
      <c r="AV116" s="1121"/>
      <c r="AW116" s="1121"/>
      <c r="AX116" s="1121"/>
      <c r="AY116" s="1122"/>
      <c r="AZ116" s="1123"/>
      <c r="BA116" s="1123"/>
      <c r="BB116" s="1123"/>
      <c r="BC116" s="1123"/>
      <c r="BD116" s="1123"/>
      <c r="BE116" s="1123"/>
      <c r="BF116" s="1124"/>
    </row>
    <row r="117" spans="1:58" ht="12" customHeight="1" x14ac:dyDescent="0.2">
      <c r="A117" s="1111"/>
      <c r="B117" s="1112"/>
      <c r="C117" s="1112"/>
      <c r="D117" s="1112"/>
      <c r="E117" s="1112"/>
      <c r="F117" s="1112"/>
      <c r="G117" s="1112"/>
      <c r="H117" s="1112"/>
      <c r="I117" s="1112"/>
      <c r="J117" s="1112"/>
      <c r="K117" s="1112"/>
      <c r="L117" s="1112"/>
      <c r="M117" s="1112"/>
      <c r="N117" s="1112"/>
      <c r="O117" s="1112"/>
      <c r="P117" s="1112"/>
      <c r="Q117" s="1112"/>
      <c r="R117" s="1112"/>
      <c r="S117" s="1112"/>
      <c r="T117" s="1112"/>
      <c r="U117" s="1112"/>
      <c r="V117" s="1112"/>
      <c r="W117" s="1113"/>
      <c r="X117" s="1113"/>
      <c r="Y117" s="1113"/>
      <c r="Z117" s="1113"/>
      <c r="AA117" s="1113"/>
      <c r="AB117" s="1113"/>
      <c r="AC117" s="1114"/>
      <c r="AD117" s="1114"/>
      <c r="AE117" s="1114"/>
      <c r="AF117" s="1114"/>
      <c r="AG117" s="1114"/>
      <c r="AH117" s="1114"/>
      <c r="AI117" s="1114"/>
      <c r="AJ117" s="1114"/>
      <c r="AK117" s="1114"/>
      <c r="AL117" s="1114"/>
      <c r="AM117" s="1114"/>
      <c r="AN117" s="1114"/>
      <c r="AO117" s="1114"/>
      <c r="AP117" s="1114"/>
      <c r="AQ117" s="1114"/>
      <c r="AR117" s="1114"/>
      <c r="AS117" s="1114"/>
      <c r="AT117" s="1114"/>
      <c r="AU117" s="1114"/>
      <c r="AV117" s="1114"/>
      <c r="AW117" s="1114"/>
      <c r="AX117" s="1114"/>
      <c r="AY117" s="1115"/>
      <c r="AZ117" s="1116"/>
      <c r="BA117" s="1116"/>
      <c r="BB117" s="1116"/>
      <c r="BC117" s="1116"/>
      <c r="BD117" s="1116"/>
      <c r="BE117" s="1116"/>
      <c r="BF117" s="1117"/>
    </row>
    <row r="118" spans="1:58" ht="12" customHeight="1" x14ac:dyDescent="0.2">
      <c r="A118" s="1118"/>
      <c r="B118" s="1119"/>
      <c r="C118" s="1119"/>
      <c r="D118" s="1119"/>
      <c r="E118" s="1119"/>
      <c r="F118" s="1119"/>
      <c r="G118" s="1119"/>
      <c r="H118" s="1119"/>
      <c r="I118" s="1119"/>
      <c r="J118" s="1119"/>
      <c r="K118" s="1119"/>
      <c r="L118" s="1119"/>
      <c r="M118" s="1119"/>
      <c r="N118" s="1119"/>
      <c r="O118" s="1119"/>
      <c r="P118" s="1119"/>
      <c r="Q118" s="1119"/>
      <c r="R118" s="1119"/>
      <c r="S118" s="1119"/>
      <c r="T118" s="1119"/>
      <c r="U118" s="1119"/>
      <c r="V118" s="1119"/>
      <c r="W118" s="1120"/>
      <c r="X118" s="1120"/>
      <c r="Y118" s="1120"/>
      <c r="Z118" s="1120"/>
      <c r="AA118" s="1120"/>
      <c r="AB118" s="1120"/>
      <c r="AC118" s="1121"/>
      <c r="AD118" s="1121"/>
      <c r="AE118" s="1121"/>
      <c r="AF118" s="1121"/>
      <c r="AG118" s="1121"/>
      <c r="AH118" s="1121"/>
      <c r="AI118" s="1121"/>
      <c r="AJ118" s="1121"/>
      <c r="AK118" s="1121"/>
      <c r="AL118" s="1121"/>
      <c r="AM118" s="1121"/>
      <c r="AN118" s="1121"/>
      <c r="AO118" s="1121"/>
      <c r="AP118" s="1121"/>
      <c r="AQ118" s="1121"/>
      <c r="AR118" s="1121"/>
      <c r="AS118" s="1121"/>
      <c r="AT118" s="1121"/>
      <c r="AU118" s="1121"/>
      <c r="AV118" s="1121"/>
      <c r="AW118" s="1121"/>
      <c r="AX118" s="1121"/>
      <c r="AY118" s="1122"/>
      <c r="AZ118" s="1123"/>
      <c r="BA118" s="1123"/>
      <c r="BB118" s="1123"/>
      <c r="BC118" s="1123"/>
      <c r="BD118" s="1123"/>
      <c r="BE118" s="1123"/>
      <c r="BF118" s="1124"/>
    </row>
    <row r="119" spans="1:58" ht="12" customHeight="1" x14ac:dyDescent="0.2">
      <c r="A119" s="1111"/>
      <c r="B119" s="1112"/>
      <c r="C119" s="1112"/>
      <c r="D119" s="1112"/>
      <c r="E119" s="1112"/>
      <c r="F119" s="1112"/>
      <c r="G119" s="1112"/>
      <c r="H119" s="1112"/>
      <c r="I119" s="1112"/>
      <c r="J119" s="1112"/>
      <c r="K119" s="1112"/>
      <c r="L119" s="1112"/>
      <c r="M119" s="1112"/>
      <c r="N119" s="1112"/>
      <c r="O119" s="1112"/>
      <c r="P119" s="1112"/>
      <c r="Q119" s="1112"/>
      <c r="R119" s="1112"/>
      <c r="S119" s="1112"/>
      <c r="T119" s="1112"/>
      <c r="U119" s="1112"/>
      <c r="V119" s="1112"/>
      <c r="W119" s="1113"/>
      <c r="X119" s="1113"/>
      <c r="Y119" s="1113"/>
      <c r="Z119" s="1113"/>
      <c r="AA119" s="1113"/>
      <c r="AB119" s="1113"/>
      <c r="AC119" s="1114"/>
      <c r="AD119" s="1114"/>
      <c r="AE119" s="1114"/>
      <c r="AF119" s="1114"/>
      <c r="AG119" s="1114"/>
      <c r="AH119" s="1114"/>
      <c r="AI119" s="1114"/>
      <c r="AJ119" s="1114"/>
      <c r="AK119" s="1114"/>
      <c r="AL119" s="1114"/>
      <c r="AM119" s="1114"/>
      <c r="AN119" s="1114"/>
      <c r="AO119" s="1114"/>
      <c r="AP119" s="1114"/>
      <c r="AQ119" s="1114"/>
      <c r="AR119" s="1114"/>
      <c r="AS119" s="1114"/>
      <c r="AT119" s="1114"/>
      <c r="AU119" s="1114"/>
      <c r="AV119" s="1114"/>
      <c r="AW119" s="1114"/>
      <c r="AX119" s="1114"/>
      <c r="AY119" s="1115"/>
      <c r="AZ119" s="1116"/>
      <c r="BA119" s="1116"/>
      <c r="BB119" s="1116"/>
      <c r="BC119" s="1116"/>
      <c r="BD119" s="1116"/>
      <c r="BE119" s="1116"/>
      <c r="BF119" s="1117"/>
    </row>
    <row r="120" spans="1:58" ht="12" customHeight="1" x14ac:dyDescent="0.2">
      <c r="A120" s="1118"/>
      <c r="B120" s="1119"/>
      <c r="C120" s="1119"/>
      <c r="D120" s="1119"/>
      <c r="E120" s="1119"/>
      <c r="F120" s="1119"/>
      <c r="G120" s="1119"/>
      <c r="H120" s="1119"/>
      <c r="I120" s="1119"/>
      <c r="J120" s="1119"/>
      <c r="K120" s="1119"/>
      <c r="L120" s="1119"/>
      <c r="M120" s="1119"/>
      <c r="N120" s="1119"/>
      <c r="O120" s="1119"/>
      <c r="P120" s="1119"/>
      <c r="Q120" s="1119"/>
      <c r="R120" s="1119"/>
      <c r="S120" s="1119"/>
      <c r="T120" s="1119"/>
      <c r="U120" s="1119"/>
      <c r="V120" s="1119"/>
      <c r="W120" s="1120"/>
      <c r="X120" s="1120"/>
      <c r="Y120" s="1120"/>
      <c r="Z120" s="1120"/>
      <c r="AA120" s="1120"/>
      <c r="AB120" s="1120"/>
      <c r="AC120" s="1121"/>
      <c r="AD120" s="1121"/>
      <c r="AE120" s="1121"/>
      <c r="AF120" s="1121"/>
      <c r="AG120" s="1121"/>
      <c r="AH120" s="1121"/>
      <c r="AI120" s="1121"/>
      <c r="AJ120" s="1121"/>
      <c r="AK120" s="1121"/>
      <c r="AL120" s="1121"/>
      <c r="AM120" s="1121"/>
      <c r="AN120" s="1121"/>
      <c r="AO120" s="1121"/>
      <c r="AP120" s="1121"/>
      <c r="AQ120" s="1121"/>
      <c r="AR120" s="1121"/>
      <c r="AS120" s="1121"/>
      <c r="AT120" s="1121"/>
      <c r="AU120" s="1121"/>
      <c r="AV120" s="1121"/>
      <c r="AW120" s="1121"/>
      <c r="AX120" s="1121"/>
      <c r="AY120" s="1122"/>
      <c r="AZ120" s="1123"/>
      <c r="BA120" s="1123"/>
      <c r="BB120" s="1123"/>
      <c r="BC120" s="1123"/>
      <c r="BD120" s="1123"/>
      <c r="BE120" s="1123"/>
      <c r="BF120" s="1124"/>
    </row>
    <row r="121" spans="1:58" ht="12" customHeight="1" x14ac:dyDescent="0.2">
      <c r="A121" s="1111"/>
      <c r="B121" s="1112"/>
      <c r="C121" s="1112"/>
      <c r="D121" s="1112"/>
      <c r="E121" s="1112"/>
      <c r="F121" s="1112"/>
      <c r="G121" s="1112"/>
      <c r="H121" s="1112"/>
      <c r="I121" s="1112"/>
      <c r="J121" s="1112"/>
      <c r="K121" s="1112"/>
      <c r="L121" s="1112"/>
      <c r="M121" s="1112"/>
      <c r="N121" s="1112"/>
      <c r="O121" s="1112"/>
      <c r="P121" s="1112"/>
      <c r="Q121" s="1112"/>
      <c r="R121" s="1112"/>
      <c r="S121" s="1112"/>
      <c r="T121" s="1112"/>
      <c r="U121" s="1112"/>
      <c r="V121" s="1112"/>
      <c r="W121" s="1113"/>
      <c r="X121" s="1113"/>
      <c r="Y121" s="1113"/>
      <c r="Z121" s="1113"/>
      <c r="AA121" s="1113"/>
      <c r="AB121" s="1113"/>
      <c r="AC121" s="1114"/>
      <c r="AD121" s="1114"/>
      <c r="AE121" s="1114"/>
      <c r="AF121" s="1114"/>
      <c r="AG121" s="1114"/>
      <c r="AH121" s="1114"/>
      <c r="AI121" s="1114"/>
      <c r="AJ121" s="1114"/>
      <c r="AK121" s="1114"/>
      <c r="AL121" s="1114"/>
      <c r="AM121" s="1114"/>
      <c r="AN121" s="1114"/>
      <c r="AO121" s="1114"/>
      <c r="AP121" s="1114"/>
      <c r="AQ121" s="1114"/>
      <c r="AR121" s="1114"/>
      <c r="AS121" s="1114"/>
      <c r="AT121" s="1114"/>
      <c r="AU121" s="1114"/>
      <c r="AV121" s="1114"/>
      <c r="AW121" s="1114"/>
      <c r="AX121" s="1114"/>
      <c r="AY121" s="1115"/>
      <c r="AZ121" s="1116"/>
      <c r="BA121" s="1116"/>
      <c r="BB121" s="1116"/>
      <c r="BC121" s="1116"/>
      <c r="BD121" s="1116"/>
      <c r="BE121" s="1116"/>
      <c r="BF121" s="1117"/>
    </row>
    <row r="122" spans="1:58" ht="12" customHeight="1" x14ac:dyDescent="0.2">
      <c r="A122" s="1118"/>
      <c r="B122" s="1119"/>
      <c r="C122" s="1119"/>
      <c r="D122" s="1119"/>
      <c r="E122" s="1119"/>
      <c r="F122" s="1119"/>
      <c r="G122" s="1119"/>
      <c r="H122" s="1119"/>
      <c r="I122" s="1119"/>
      <c r="J122" s="1119"/>
      <c r="K122" s="1119"/>
      <c r="L122" s="1119"/>
      <c r="M122" s="1119"/>
      <c r="N122" s="1119"/>
      <c r="O122" s="1119"/>
      <c r="P122" s="1119"/>
      <c r="Q122" s="1119"/>
      <c r="R122" s="1119"/>
      <c r="S122" s="1119"/>
      <c r="T122" s="1119"/>
      <c r="U122" s="1119"/>
      <c r="V122" s="1119"/>
      <c r="W122" s="1120"/>
      <c r="X122" s="1120"/>
      <c r="Y122" s="1120"/>
      <c r="Z122" s="1120"/>
      <c r="AA122" s="1120"/>
      <c r="AB122" s="1120"/>
      <c r="AC122" s="1121"/>
      <c r="AD122" s="1121"/>
      <c r="AE122" s="1121"/>
      <c r="AF122" s="1121"/>
      <c r="AG122" s="1121"/>
      <c r="AH122" s="1121"/>
      <c r="AI122" s="1121"/>
      <c r="AJ122" s="1121"/>
      <c r="AK122" s="1121"/>
      <c r="AL122" s="1121"/>
      <c r="AM122" s="1121"/>
      <c r="AN122" s="1121"/>
      <c r="AO122" s="1121"/>
      <c r="AP122" s="1121"/>
      <c r="AQ122" s="1121"/>
      <c r="AR122" s="1121"/>
      <c r="AS122" s="1121"/>
      <c r="AT122" s="1121"/>
      <c r="AU122" s="1121"/>
      <c r="AV122" s="1121"/>
      <c r="AW122" s="1121"/>
      <c r="AX122" s="1121"/>
      <c r="AY122" s="1122"/>
      <c r="AZ122" s="1123"/>
      <c r="BA122" s="1123"/>
      <c r="BB122" s="1123"/>
      <c r="BC122" s="1123"/>
      <c r="BD122" s="1123"/>
      <c r="BE122" s="1123"/>
      <c r="BF122" s="1124"/>
    </row>
    <row r="123" spans="1:58" ht="12" customHeight="1" x14ac:dyDescent="0.2">
      <c r="A123" s="1111"/>
      <c r="B123" s="1112"/>
      <c r="C123" s="1112"/>
      <c r="D123" s="1112"/>
      <c r="E123" s="1112"/>
      <c r="F123" s="1112"/>
      <c r="G123" s="1112"/>
      <c r="H123" s="1112"/>
      <c r="I123" s="1112"/>
      <c r="J123" s="1112"/>
      <c r="K123" s="1112"/>
      <c r="L123" s="1112"/>
      <c r="M123" s="1112"/>
      <c r="N123" s="1112"/>
      <c r="O123" s="1112"/>
      <c r="P123" s="1112"/>
      <c r="Q123" s="1112"/>
      <c r="R123" s="1112"/>
      <c r="S123" s="1112"/>
      <c r="T123" s="1112"/>
      <c r="U123" s="1112"/>
      <c r="V123" s="1112"/>
      <c r="W123" s="1113"/>
      <c r="X123" s="1113"/>
      <c r="Y123" s="1113"/>
      <c r="Z123" s="1113"/>
      <c r="AA123" s="1113"/>
      <c r="AB123" s="1113"/>
      <c r="AC123" s="1114"/>
      <c r="AD123" s="1114"/>
      <c r="AE123" s="1114"/>
      <c r="AF123" s="1114"/>
      <c r="AG123" s="1114"/>
      <c r="AH123" s="1114"/>
      <c r="AI123" s="1114"/>
      <c r="AJ123" s="1114"/>
      <c r="AK123" s="1114"/>
      <c r="AL123" s="1114"/>
      <c r="AM123" s="1114"/>
      <c r="AN123" s="1114"/>
      <c r="AO123" s="1114"/>
      <c r="AP123" s="1114"/>
      <c r="AQ123" s="1114"/>
      <c r="AR123" s="1114"/>
      <c r="AS123" s="1114"/>
      <c r="AT123" s="1114"/>
      <c r="AU123" s="1114"/>
      <c r="AV123" s="1114"/>
      <c r="AW123" s="1114"/>
      <c r="AX123" s="1114"/>
      <c r="AY123" s="1115"/>
      <c r="AZ123" s="1116"/>
      <c r="BA123" s="1116"/>
      <c r="BB123" s="1116"/>
      <c r="BC123" s="1116"/>
      <c r="BD123" s="1116"/>
      <c r="BE123" s="1116"/>
      <c r="BF123" s="1117"/>
    </row>
    <row r="124" spans="1:58" ht="12" customHeight="1" x14ac:dyDescent="0.2">
      <c r="A124" s="1118"/>
      <c r="B124" s="1119"/>
      <c r="C124" s="1119"/>
      <c r="D124" s="1119"/>
      <c r="E124" s="1119"/>
      <c r="F124" s="1119"/>
      <c r="G124" s="1119"/>
      <c r="H124" s="1119"/>
      <c r="I124" s="1119"/>
      <c r="J124" s="1119"/>
      <c r="K124" s="1119"/>
      <c r="L124" s="1119"/>
      <c r="M124" s="1119"/>
      <c r="N124" s="1119"/>
      <c r="O124" s="1119"/>
      <c r="P124" s="1119"/>
      <c r="Q124" s="1119"/>
      <c r="R124" s="1119"/>
      <c r="S124" s="1119"/>
      <c r="T124" s="1119"/>
      <c r="U124" s="1119"/>
      <c r="V124" s="1119"/>
      <c r="W124" s="1120"/>
      <c r="X124" s="1120"/>
      <c r="Y124" s="1120"/>
      <c r="Z124" s="1120"/>
      <c r="AA124" s="1120"/>
      <c r="AB124" s="1120"/>
      <c r="AC124" s="1121"/>
      <c r="AD124" s="1121"/>
      <c r="AE124" s="1121"/>
      <c r="AF124" s="1121"/>
      <c r="AG124" s="1121"/>
      <c r="AH124" s="1121"/>
      <c r="AI124" s="1121"/>
      <c r="AJ124" s="1121"/>
      <c r="AK124" s="1121"/>
      <c r="AL124" s="1121"/>
      <c r="AM124" s="1121"/>
      <c r="AN124" s="1121"/>
      <c r="AO124" s="1121"/>
      <c r="AP124" s="1121"/>
      <c r="AQ124" s="1121"/>
      <c r="AR124" s="1121"/>
      <c r="AS124" s="1121"/>
      <c r="AT124" s="1121"/>
      <c r="AU124" s="1121"/>
      <c r="AV124" s="1121"/>
      <c r="AW124" s="1121"/>
      <c r="AX124" s="1121"/>
      <c r="AY124" s="1122"/>
      <c r="AZ124" s="1123"/>
      <c r="BA124" s="1123"/>
      <c r="BB124" s="1123"/>
      <c r="BC124" s="1123"/>
      <c r="BD124" s="1123"/>
      <c r="BE124" s="1123"/>
      <c r="BF124" s="1124"/>
    </row>
    <row r="125" spans="1:58" ht="12" customHeight="1" x14ac:dyDescent="0.2">
      <c r="A125" s="1111"/>
      <c r="B125" s="1112"/>
      <c r="C125" s="1112"/>
      <c r="D125" s="1112"/>
      <c r="E125" s="1112"/>
      <c r="F125" s="1112"/>
      <c r="G125" s="1112"/>
      <c r="H125" s="1112"/>
      <c r="I125" s="1112"/>
      <c r="J125" s="1112"/>
      <c r="K125" s="1112"/>
      <c r="L125" s="1112"/>
      <c r="M125" s="1112"/>
      <c r="N125" s="1112"/>
      <c r="O125" s="1112"/>
      <c r="P125" s="1112"/>
      <c r="Q125" s="1112"/>
      <c r="R125" s="1112"/>
      <c r="S125" s="1112"/>
      <c r="T125" s="1112"/>
      <c r="U125" s="1112"/>
      <c r="V125" s="1112"/>
      <c r="W125" s="1113"/>
      <c r="X125" s="1113"/>
      <c r="Y125" s="1113"/>
      <c r="Z125" s="1113"/>
      <c r="AA125" s="1113"/>
      <c r="AB125" s="1113"/>
      <c r="AC125" s="1114"/>
      <c r="AD125" s="1114"/>
      <c r="AE125" s="1114"/>
      <c r="AF125" s="1114"/>
      <c r="AG125" s="1114"/>
      <c r="AH125" s="1114"/>
      <c r="AI125" s="1114"/>
      <c r="AJ125" s="1114"/>
      <c r="AK125" s="1114"/>
      <c r="AL125" s="1114"/>
      <c r="AM125" s="1114"/>
      <c r="AN125" s="1114"/>
      <c r="AO125" s="1114"/>
      <c r="AP125" s="1114"/>
      <c r="AQ125" s="1114"/>
      <c r="AR125" s="1114"/>
      <c r="AS125" s="1114"/>
      <c r="AT125" s="1114"/>
      <c r="AU125" s="1114"/>
      <c r="AV125" s="1114"/>
      <c r="AW125" s="1114"/>
      <c r="AX125" s="1114"/>
      <c r="AY125" s="1115"/>
      <c r="AZ125" s="1116"/>
      <c r="BA125" s="1116"/>
      <c r="BB125" s="1116"/>
      <c r="BC125" s="1116"/>
      <c r="BD125" s="1116"/>
      <c r="BE125" s="1116"/>
      <c r="BF125" s="1117"/>
    </row>
    <row r="126" spans="1:58" ht="12" customHeight="1" x14ac:dyDescent="0.2">
      <c r="A126" s="1118"/>
      <c r="B126" s="1119"/>
      <c r="C126" s="1119"/>
      <c r="D126" s="1119"/>
      <c r="E126" s="1119"/>
      <c r="F126" s="1119"/>
      <c r="G126" s="1119"/>
      <c r="H126" s="1119"/>
      <c r="I126" s="1119"/>
      <c r="J126" s="1119"/>
      <c r="K126" s="1119"/>
      <c r="L126" s="1119"/>
      <c r="M126" s="1119"/>
      <c r="N126" s="1119"/>
      <c r="O126" s="1119"/>
      <c r="P126" s="1119"/>
      <c r="Q126" s="1119"/>
      <c r="R126" s="1119"/>
      <c r="S126" s="1119"/>
      <c r="T126" s="1119"/>
      <c r="U126" s="1119"/>
      <c r="V126" s="1119"/>
      <c r="W126" s="1120"/>
      <c r="X126" s="1120"/>
      <c r="Y126" s="1120"/>
      <c r="Z126" s="1120"/>
      <c r="AA126" s="1120"/>
      <c r="AB126" s="1120"/>
      <c r="AC126" s="1121"/>
      <c r="AD126" s="1121"/>
      <c r="AE126" s="1121"/>
      <c r="AF126" s="1121"/>
      <c r="AG126" s="1121"/>
      <c r="AH126" s="1121"/>
      <c r="AI126" s="1121"/>
      <c r="AJ126" s="1121"/>
      <c r="AK126" s="1121"/>
      <c r="AL126" s="1121"/>
      <c r="AM126" s="1121"/>
      <c r="AN126" s="1121"/>
      <c r="AO126" s="1121"/>
      <c r="AP126" s="1121"/>
      <c r="AQ126" s="1121"/>
      <c r="AR126" s="1121"/>
      <c r="AS126" s="1121"/>
      <c r="AT126" s="1121"/>
      <c r="AU126" s="1121"/>
      <c r="AV126" s="1121"/>
      <c r="AW126" s="1121"/>
      <c r="AX126" s="1121"/>
      <c r="AY126" s="1122"/>
      <c r="AZ126" s="1123"/>
      <c r="BA126" s="1123"/>
      <c r="BB126" s="1123"/>
      <c r="BC126" s="1123"/>
      <c r="BD126" s="1123"/>
      <c r="BE126" s="1123"/>
      <c r="BF126" s="1124"/>
    </row>
    <row r="127" spans="1:58" ht="12" customHeight="1" x14ac:dyDescent="0.2">
      <c r="A127" s="1111"/>
      <c r="B127" s="1112"/>
      <c r="C127" s="1112"/>
      <c r="D127" s="1112"/>
      <c r="E127" s="1112"/>
      <c r="F127" s="1112"/>
      <c r="G127" s="1112"/>
      <c r="H127" s="1112"/>
      <c r="I127" s="1112"/>
      <c r="J127" s="1112"/>
      <c r="K127" s="1112"/>
      <c r="L127" s="1112"/>
      <c r="M127" s="1112"/>
      <c r="N127" s="1112"/>
      <c r="O127" s="1112"/>
      <c r="P127" s="1112"/>
      <c r="Q127" s="1112"/>
      <c r="R127" s="1112"/>
      <c r="S127" s="1112"/>
      <c r="T127" s="1112"/>
      <c r="U127" s="1112"/>
      <c r="V127" s="1112"/>
      <c r="W127" s="1113"/>
      <c r="X127" s="1113"/>
      <c r="Y127" s="1113"/>
      <c r="Z127" s="1113"/>
      <c r="AA127" s="1113"/>
      <c r="AB127" s="1113"/>
      <c r="AC127" s="1114"/>
      <c r="AD127" s="1114"/>
      <c r="AE127" s="1114"/>
      <c r="AF127" s="1114"/>
      <c r="AG127" s="1114"/>
      <c r="AH127" s="1114"/>
      <c r="AI127" s="1114"/>
      <c r="AJ127" s="1114"/>
      <c r="AK127" s="1114"/>
      <c r="AL127" s="1114"/>
      <c r="AM127" s="1114"/>
      <c r="AN127" s="1114"/>
      <c r="AO127" s="1114"/>
      <c r="AP127" s="1114"/>
      <c r="AQ127" s="1114"/>
      <c r="AR127" s="1114"/>
      <c r="AS127" s="1114"/>
      <c r="AT127" s="1114"/>
      <c r="AU127" s="1114"/>
      <c r="AV127" s="1114"/>
      <c r="AW127" s="1114"/>
      <c r="AX127" s="1114"/>
      <c r="AY127" s="1115"/>
      <c r="AZ127" s="1116"/>
      <c r="BA127" s="1116"/>
      <c r="BB127" s="1116"/>
      <c r="BC127" s="1116"/>
      <c r="BD127" s="1116"/>
      <c r="BE127" s="1116"/>
      <c r="BF127" s="1117"/>
    </row>
    <row r="128" spans="1:58" ht="12" customHeight="1" x14ac:dyDescent="0.2">
      <c r="A128" s="1118"/>
      <c r="B128" s="1119"/>
      <c r="C128" s="1119"/>
      <c r="D128" s="1119"/>
      <c r="E128" s="1119"/>
      <c r="F128" s="1119"/>
      <c r="G128" s="1119"/>
      <c r="H128" s="1119"/>
      <c r="I128" s="1119"/>
      <c r="J128" s="1119"/>
      <c r="K128" s="1119"/>
      <c r="L128" s="1119"/>
      <c r="M128" s="1119"/>
      <c r="N128" s="1119"/>
      <c r="O128" s="1119"/>
      <c r="P128" s="1119"/>
      <c r="Q128" s="1119"/>
      <c r="R128" s="1119"/>
      <c r="S128" s="1119"/>
      <c r="T128" s="1119"/>
      <c r="U128" s="1119"/>
      <c r="V128" s="1119"/>
      <c r="W128" s="1120"/>
      <c r="X128" s="1120"/>
      <c r="Y128" s="1120"/>
      <c r="Z128" s="1120"/>
      <c r="AA128" s="1120"/>
      <c r="AB128" s="1120"/>
      <c r="AC128" s="1121"/>
      <c r="AD128" s="1121"/>
      <c r="AE128" s="1121"/>
      <c r="AF128" s="1121"/>
      <c r="AG128" s="1121"/>
      <c r="AH128" s="1121"/>
      <c r="AI128" s="1121"/>
      <c r="AJ128" s="1121"/>
      <c r="AK128" s="1121"/>
      <c r="AL128" s="1121"/>
      <c r="AM128" s="1121"/>
      <c r="AN128" s="1121"/>
      <c r="AO128" s="1121"/>
      <c r="AP128" s="1121"/>
      <c r="AQ128" s="1121"/>
      <c r="AR128" s="1121"/>
      <c r="AS128" s="1121"/>
      <c r="AT128" s="1121"/>
      <c r="AU128" s="1121"/>
      <c r="AV128" s="1121"/>
      <c r="AW128" s="1121"/>
      <c r="AX128" s="1121"/>
      <c r="AY128" s="1122"/>
      <c r="AZ128" s="1123"/>
      <c r="BA128" s="1123"/>
      <c r="BB128" s="1123"/>
      <c r="BC128" s="1123"/>
      <c r="BD128" s="1123"/>
      <c r="BE128" s="1123"/>
      <c r="BF128" s="1124"/>
    </row>
    <row r="129" spans="1:58" ht="12" customHeight="1" x14ac:dyDescent="0.2">
      <c r="A129" s="1111"/>
      <c r="B129" s="1112"/>
      <c r="C129" s="1112"/>
      <c r="D129" s="1112"/>
      <c r="E129" s="1112"/>
      <c r="F129" s="1112"/>
      <c r="G129" s="1112"/>
      <c r="H129" s="1112"/>
      <c r="I129" s="1112"/>
      <c r="J129" s="1112"/>
      <c r="K129" s="1112"/>
      <c r="L129" s="1112"/>
      <c r="M129" s="1112"/>
      <c r="N129" s="1112"/>
      <c r="O129" s="1112"/>
      <c r="P129" s="1112"/>
      <c r="Q129" s="1112"/>
      <c r="R129" s="1112"/>
      <c r="S129" s="1112"/>
      <c r="T129" s="1112"/>
      <c r="U129" s="1112"/>
      <c r="V129" s="1112"/>
      <c r="W129" s="1113"/>
      <c r="X129" s="1113"/>
      <c r="Y129" s="1113"/>
      <c r="Z129" s="1113"/>
      <c r="AA129" s="1113"/>
      <c r="AB129" s="1113"/>
      <c r="AC129" s="1114"/>
      <c r="AD129" s="1114"/>
      <c r="AE129" s="1114"/>
      <c r="AF129" s="1114"/>
      <c r="AG129" s="1114"/>
      <c r="AH129" s="1114"/>
      <c r="AI129" s="1114"/>
      <c r="AJ129" s="1114"/>
      <c r="AK129" s="1114"/>
      <c r="AL129" s="1114"/>
      <c r="AM129" s="1114"/>
      <c r="AN129" s="1114"/>
      <c r="AO129" s="1114"/>
      <c r="AP129" s="1114"/>
      <c r="AQ129" s="1114"/>
      <c r="AR129" s="1114"/>
      <c r="AS129" s="1114"/>
      <c r="AT129" s="1114"/>
      <c r="AU129" s="1114"/>
      <c r="AV129" s="1114"/>
      <c r="AW129" s="1114"/>
      <c r="AX129" s="1114"/>
      <c r="AY129" s="1115"/>
      <c r="AZ129" s="1116"/>
      <c r="BA129" s="1116"/>
      <c r="BB129" s="1116"/>
      <c r="BC129" s="1116"/>
      <c r="BD129" s="1116"/>
      <c r="BE129" s="1116"/>
      <c r="BF129" s="1117"/>
    </row>
    <row r="130" spans="1:58" ht="12" customHeight="1" x14ac:dyDescent="0.2">
      <c r="A130" s="1118"/>
      <c r="B130" s="1119"/>
      <c r="C130" s="1119"/>
      <c r="D130" s="1119"/>
      <c r="E130" s="1119"/>
      <c r="F130" s="1119"/>
      <c r="G130" s="1119"/>
      <c r="H130" s="1119"/>
      <c r="I130" s="1119"/>
      <c r="J130" s="1119"/>
      <c r="K130" s="1119"/>
      <c r="L130" s="1119"/>
      <c r="M130" s="1119"/>
      <c r="N130" s="1119"/>
      <c r="O130" s="1119"/>
      <c r="P130" s="1119"/>
      <c r="Q130" s="1119"/>
      <c r="R130" s="1119"/>
      <c r="S130" s="1119"/>
      <c r="T130" s="1119"/>
      <c r="U130" s="1119"/>
      <c r="V130" s="1119"/>
      <c r="W130" s="1120"/>
      <c r="X130" s="1120"/>
      <c r="Y130" s="1120"/>
      <c r="Z130" s="1120"/>
      <c r="AA130" s="1120"/>
      <c r="AB130" s="1120"/>
      <c r="AC130" s="1121"/>
      <c r="AD130" s="1121"/>
      <c r="AE130" s="1121"/>
      <c r="AF130" s="1121"/>
      <c r="AG130" s="1121"/>
      <c r="AH130" s="1121"/>
      <c r="AI130" s="1121"/>
      <c r="AJ130" s="1121"/>
      <c r="AK130" s="1121"/>
      <c r="AL130" s="1121"/>
      <c r="AM130" s="1121"/>
      <c r="AN130" s="1121"/>
      <c r="AO130" s="1121"/>
      <c r="AP130" s="1121"/>
      <c r="AQ130" s="1121"/>
      <c r="AR130" s="1121"/>
      <c r="AS130" s="1121"/>
      <c r="AT130" s="1121"/>
      <c r="AU130" s="1121"/>
      <c r="AV130" s="1121"/>
      <c r="AW130" s="1121"/>
      <c r="AX130" s="1121"/>
      <c r="AY130" s="1122"/>
      <c r="AZ130" s="1123"/>
      <c r="BA130" s="1123"/>
      <c r="BB130" s="1123"/>
      <c r="BC130" s="1123"/>
      <c r="BD130" s="1123"/>
      <c r="BE130" s="1123"/>
      <c r="BF130" s="1124"/>
    </row>
    <row r="131" spans="1:58" ht="12" customHeight="1" x14ac:dyDescent="0.2">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c r="X131" s="1113"/>
      <c r="Y131" s="1113"/>
      <c r="Z131" s="1113"/>
      <c r="AA131" s="1113"/>
      <c r="AB131" s="1113"/>
      <c r="AC131" s="1114"/>
      <c r="AD131" s="1114"/>
      <c r="AE131" s="1114"/>
      <c r="AF131" s="1114"/>
      <c r="AG131" s="1114"/>
      <c r="AH131" s="1114"/>
      <c r="AI131" s="1114"/>
      <c r="AJ131" s="1114"/>
      <c r="AK131" s="1114"/>
      <c r="AL131" s="1114"/>
      <c r="AM131" s="1114"/>
      <c r="AN131" s="1114"/>
      <c r="AO131" s="1114"/>
      <c r="AP131" s="1114"/>
      <c r="AQ131" s="1114"/>
      <c r="AR131" s="1114"/>
      <c r="AS131" s="1114"/>
      <c r="AT131" s="1114"/>
      <c r="AU131" s="1114"/>
      <c r="AV131" s="1114"/>
      <c r="AW131" s="1114"/>
      <c r="AX131" s="1114"/>
      <c r="AY131" s="1115"/>
      <c r="AZ131" s="1116"/>
      <c r="BA131" s="1116"/>
      <c r="BB131" s="1116"/>
      <c r="BC131" s="1116"/>
      <c r="BD131" s="1116"/>
      <c r="BE131" s="1116"/>
      <c r="BF131" s="1117"/>
    </row>
    <row r="132" spans="1:58" ht="12" customHeight="1" x14ac:dyDescent="0.2">
      <c r="A132" s="1118" t="s">
        <v>1288</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19"/>
      <c r="W132" s="1120"/>
      <c r="X132" s="1120"/>
      <c r="Y132" s="1120"/>
      <c r="Z132" s="1120"/>
      <c r="AA132" s="1120"/>
      <c r="AB132" s="1120"/>
      <c r="AC132" s="1121"/>
      <c r="AD132" s="1121"/>
      <c r="AE132" s="1121"/>
      <c r="AF132" s="1121"/>
      <c r="AG132" s="1121"/>
      <c r="AH132" s="1121"/>
      <c r="AI132" s="1121"/>
      <c r="AJ132" s="1121"/>
      <c r="AK132" s="1121"/>
      <c r="AL132" s="1121"/>
      <c r="AM132" s="1121"/>
      <c r="AN132" s="1121"/>
      <c r="AO132" s="1121"/>
      <c r="AP132" s="1121"/>
      <c r="AQ132" s="1121"/>
      <c r="AR132" s="1121"/>
      <c r="AS132" s="1121"/>
      <c r="AT132" s="1121"/>
      <c r="AU132" s="1121"/>
      <c r="AV132" s="1121"/>
      <c r="AW132" s="1121"/>
      <c r="AX132" s="1121"/>
      <c r="AY132" s="1122"/>
      <c r="AZ132" s="1123"/>
      <c r="BA132" s="1123"/>
      <c r="BB132" s="1123"/>
      <c r="BC132" s="1123"/>
      <c r="BD132" s="1123"/>
      <c r="BE132" s="1123"/>
      <c r="BF132" s="1124"/>
    </row>
    <row r="133" spans="1:58" ht="12" customHeight="1" x14ac:dyDescent="0.2">
      <c r="A133" s="1111"/>
      <c r="B133" s="1112"/>
      <c r="C133" s="1112"/>
      <c r="D133" s="1112"/>
      <c r="E133" s="1112"/>
      <c r="F133" s="1112"/>
      <c r="G133" s="1112"/>
      <c r="H133" s="1112"/>
      <c r="I133" s="1112"/>
      <c r="J133" s="1112"/>
      <c r="K133" s="1112"/>
      <c r="L133" s="1112"/>
      <c r="M133" s="1112"/>
      <c r="N133" s="1112"/>
      <c r="O133" s="1112"/>
      <c r="P133" s="1112"/>
      <c r="Q133" s="1112"/>
      <c r="R133" s="1112"/>
      <c r="S133" s="1112"/>
      <c r="T133" s="1112"/>
      <c r="U133" s="1112"/>
      <c r="V133" s="1112"/>
      <c r="W133" s="1113"/>
      <c r="X133" s="1113"/>
      <c r="Y133" s="1113"/>
      <c r="Z133" s="1113"/>
      <c r="AA133" s="1113"/>
      <c r="AB133" s="1113"/>
      <c r="AC133" s="1114"/>
      <c r="AD133" s="1114"/>
      <c r="AE133" s="1114"/>
      <c r="AF133" s="1114"/>
      <c r="AG133" s="1114"/>
      <c r="AH133" s="1114"/>
      <c r="AI133" s="1114"/>
      <c r="AJ133" s="1114"/>
      <c r="AK133" s="1114"/>
      <c r="AL133" s="1114"/>
      <c r="AM133" s="1114"/>
      <c r="AN133" s="1114"/>
      <c r="AO133" s="1114"/>
      <c r="AP133" s="1114"/>
      <c r="AQ133" s="1114"/>
      <c r="AR133" s="1114"/>
      <c r="AS133" s="1114"/>
      <c r="AT133" s="1114"/>
      <c r="AU133" s="1114"/>
      <c r="AV133" s="1114"/>
      <c r="AW133" s="1114"/>
      <c r="AX133" s="1114"/>
      <c r="AY133" s="1115"/>
      <c r="AZ133" s="1116"/>
      <c r="BA133" s="1116"/>
      <c r="BB133" s="1116"/>
      <c r="BC133" s="1116"/>
      <c r="BD133" s="1116"/>
      <c r="BE133" s="1116"/>
      <c r="BF133" s="1117"/>
    </row>
    <row r="134" spans="1:58" ht="12" customHeight="1" x14ac:dyDescent="0.2">
      <c r="A134" s="1118"/>
      <c r="B134" s="1119"/>
      <c r="C134" s="1119"/>
      <c r="D134" s="1119"/>
      <c r="E134" s="1119"/>
      <c r="F134" s="1119"/>
      <c r="G134" s="1119"/>
      <c r="H134" s="1119"/>
      <c r="I134" s="1119"/>
      <c r="J134" s="1119"/>
      <c r="K134" s="1119"/>
      <c r="L134" s="1119"/>
      <c r="M134" s="1119"/>
      <c r="N134" s="1119"/>
      <c r="O134" s="1119"/>
      <c r="P134" s="1119"/>
      <c r="Q134" s="1119"/>
      <c r="R134" s="1119"/>
      <c r="S134" s="1119"/>
      <c r="T134" s="1119"/>
      <c r="U134" s="1119"/>
      <c r="V134" s="1119"/>
      <c r="W134" s="1120"/>
      <c r="X134" s="1120"/>
      <c r="Y134" s="1120"/>
      <c r="Z134" s="1120"/>
      <c r="AA134" s="1120"/>
      <c r="AB134" s="1120"/>
      <c r="AC134" s="1121"/>
      <c r="AD134" s="1121"/>
      <c r="AE134" s="1121"/>
      <c r="AF134" s="1121"/>
      <c r="AG134" s="1121"/>
      <c r="AH134" s="1121"/>
      <c r="AI134" s="1121"/>
      <c r="AJ134" s="1121"/>
      <c r="AK134" s="1121"/>
      <c r="AL134" s="1121"/>
      <c r="AM134" s="1121"/>
      <c r="AN134" s="1121"/>
      <c r="AO134" s="1121"/>
      <c r="AP134" s="1121"/>
      <c r="AQ134" s="1121"/>
      <c r="AR134" s="1121"/>
      <c r="AS134" s="1121"/>
      <c r="AT134" s="1121"/>
      <c r="AU134" s="1121"/>
      <c r="AV134" s="1121"/>
      <c r="AW134" s="1121"/>
      <c r="AX134" s="1121"/>
      <c r="AY134" s="1122"/>
      <c r="AZ134" s="1123"/>
      <c r="BA134" s="1123"/>
      <c r="BB134" s="1123"/>
      <c r="BC134" s="1123"/>
      <c r="BD134" s="1123"/>
      <c r="BE134" s="1123"/>
      <c r="BF134" s="1124"/>
    </row>
    <row r="135" spans="1:58" ht="12" customHeight="1" x14ac:dyDescent="0.2">
      <c r="A135" s="1111"/>
      <c r="B135" s="1112"/>
      <c r="C135" s="1112"/>
      <c r="D135" s="1112"/>
      <c r="E135" s="1112"/>
      <c r="F135" s="1112"/>
      <c r="G135" s="1112"/>
      <c r="H135" s="1112"/>
      <c r="I135" s="1112"/>
      <c r="J135" s="1112"/>
      <c r="K135" s="1112"/>
      <c r="L135" s="1112"/>
      <c r="M135" s="1112"/>
      <c r="N135" s="1112"/>
      <c r="O135" s="1112"/>
      <c r="P135" s="1112"/>
      <c r="Q135" s="1112"/>
      <c r="R135" s="1112"/>
      <c r="S135" s="1112"/>
      <c r="T135" s="1112"/>
      <c r="U135" s="1112"/>
      <c r="V135" s="1112"/>
      <c r="W135" s="1113"/>
      <c r="X135" s="1113"/>
      <c r="Y135" s="1113"/>
      <c r="Z135" s="1113"/>
      <c r="AA135" s="1113"/>
      <c r="AB135" s="1113"/>
      <c r="AC135" s="1114"/>
      <c r="AD135" s="1114"/>
      <c r="AE135" s="1114"/>
      <c r="AF135" s="1114"/>
      <c r="AG135" s="1114"/>
      <c r="AH135" s="1114"/>
      <c r="AI135" s="1114"/>
      <c r="AJ135" s="1114"/>
      <c r="AK135" s="1114"/>
      <c r="AL135" s="1114"/>
      <c r="AM135" s="1114"/>
      <c r="AN135" s="1114"/>
      <c r="AO135" s="1114"/>
      <c r="AP135" s="1114"/>
      <c r="AQ135" s="1114"/>
      <c r="AR135" s="1114"/>
      <c r="AS135" s="1114"/>
      <c r="AT135" s="1114"/>
      <c r="AU135" s="1114"/>
      <c r="AV135" s="1114"/>
      <c r="AW135" s="1114"/>
      <c r="AX135" s="1114"/>
      <c r="AY135" s="1115"/>
      <c r="AZ135" s="1116"/>
      <c r="BA135" s="1116"/>
      <c r="BB135" s="1116"/>
      <c r="BC135" s="1116"/>
      <c r="BD135" s="1116"/>
      <c r="BE135" s="1116"/>
      <c r="BF135" s="1117"/>
    </row>
    <row r="136" spans="1:58" ht="12" customHeight="1" x14ac:dyDescent="0.2">
      <c r="A136" s="1118"/>
      <c r="B136" s="1119"/>
      <c r="C136" s="1119"/>
      <c r="D136" s="1119"/>
      <c r="E136" s="1119"/>
      <c r="F136" s="1119"/>
      <c r="G136" s="1119"/>
      <c r="H136" s="1119"/>
      <c r="I136" s="1119"/>
      <c r="J136" s="1119"/>
      <c r="K136" s="1119"/>
      <c r="L136" s="1119"/>
      <c r="M136" s="1119"/>
      <c r="N136" s="1119"/>
      <c r="O136" s="1119"/>
      <c r="P136" s="1119"/>
      <c r="Q136" s="1119"/>
      <c r="R136" s="1119"/>
      <c r="S136" s="1119"/>
      <c r="T136" s="1119"/>
      <c r="U136" s="1119"/>
      <c r="V136" s="1119"/>
      <c r="W136" s="1120"/>
      <c r="X136" s="1120"/>
      <c r="Y136" s="1120"/>
      <c r="Z136" s="1120"/>
      <c r="AA136" s="1120"/>
      <c r="AB136" s="1120"/>
      <c r="AC136" s="1121"/>
      <c r="AD136" s="1121"/>
      <c r="AE136" s="1121"/>
      <c r="AF136" s="1121"/>
      <c r="AG136" s="1121"/>
      <c r="AH136" s="1121"/>
      <c r="AI136" s="1121"/>
      <c r="AJ136" s="1121"/>
      <c r="AK136" s="1121"/>
      <c r="AL136" s="1121"/>
      <c r="AM136" s="1121"/>
      <c r="AN136" s="1121"/>
      <c r="AO136" s="1121"/>
      <c r="AP136" s="1121"/>
      <c r="AQ136" s="1121"/>
      <c r="AR136" s="1121"/>
      <c r="AS136" s="1121"/>
      <c r="AT136" s="1121"/>
      <c r="AU136" s="1121"/>
      <c r="AV136" s="1121"/>
      <c r="AW136" s="1121"/>
      <c r="AX136" s="1121"/>
      <c r="AY136" s="1122"/>
      <c r="AZ136" s="1123"/>
      <c r="BA136" s="1123"/>
      <c r="BB136" s="1123"/>
      <c r="BC136" s="1123"/>
      <c r="BD136" s="1123"/>
      <c r="BE136" s="1123"/>
      <c r="BF136" s="1124"/>
    </row>
    <row r="137" spans="1:58" ht="12" customHeight="1" x14ac:dyDescent="0.2">
      <c r="A137" s="1111"/>
      <c r="B137" s="1112"/>
      <c r="C137" s="1112"/>
      <c r="D137" s="1112"/>
      <c r="E137" s="1112"/>
      <c r="F137" s="1112"/>
      <c r="G137" s="1112"/>
      <c r="H137" s="1112"/>
      <c r="I137" s="1112"/>
      <c r="J137" s="1112"/>
      <c r="K137" s="1112"/>
      <c r="L137" s="1112"/>
      <c r="M137" s="1112"/>
      <c r="N137" s="1112"/>
      <c r="O137" s="1112"/>
      <c r="P137" s="1112"/>
      <c r="Q137" s="1112"/>
      <c r="R137" s="1112"/>
      <c r="S137" s="1112"/>
      <c r="T137" s="1112"/>
      <c r="U137" s="1112"/>
      <c r="V137" s="1112"/>
      <c r="W137" s="1113"/>
      <c r="X137" s="1113"/>
      <c r="Y137" s="1113"/>
      <c r="Z137" s="1113"/>
      <c r="AA137" s="1113"/>
      <c r="AB137" s="1113"/>
      <c r="AC137" s="1114"/>
      <c r="AD137" s="1114"/>
      <c r="AE137" s="1114"/>
      <c r="AF137" s="1114"/>
      <c r="AG137" s="1114"/>
      <c r="AH137" s="1114"/>
      <c r="AI137" s="1114"/>
      <c r="AJ137" s="1114"/>
      <c r="AK137" s="1114"/>
      <c r="AL137" s="1114"/>
      <c r="AM137" s="1114"/>
      <c r="AN137" s="1114"/>
      <c r="AO137" s="1114"/>
      <c r="AP137" s="1114"/>
      <c r="AQ137" s="1114"/>
      <c r="AR137" s="1114"/>
      <c r="AS137" s="1114"/>
      <c r="AT137" s="1114"/>
      <c r="AU137" s="1114"/>
      <c r="AV137" s="1114"/>
      <c r="AW137" s="1114"/>
      <c r="AX137" s="1114"/>
      <c r="AY137" s="1115"/>
      <c r="AZ137" s="1116"/>
      <c r="BA137" s="1116"/>
      <c r="BB137" s="1116"/>
      <c r="BC137" s="1116"/>
      <c r="BD137" s="1116"/>
      <c r="BE137" s="1116"/>
      <c r="BF137" s="1117"/>
    </row>
    <row r="138" spans="1:58" ht="12" customHeight="1" x14ac:dyDescent="0.2">
      <c r="A138" s="1118"/>
      <c r="B138" s="1119"/>
      <c r="C138" s="1119"/>
      <c r="D138" s="1119"/>
      <c r="E138" s="1119"/>
      <c r="F138" s="1119"/>
      <c r="G138" s="1119"/>
      <c r="H138" s="1119"/>
      <c r="I138" s="1119"/>
      <c r="J138" s="1119"/>
      <c r="K138" s="1119"/>
      <c r="L138" s="1119"/>
      <c r="M138" s="1119"/>
      <c r="N138" s="1119"/>
      <c r="O138" s="1119"/>
      <c r="P138" s="1119"/>
      <c r="Q138" s="1119"/>
      <c r="R138" s="1119"/>
      <c r="S138" s="1119"/>
      <c r="T138" s="1119"/>
      <c r="U138" s="1119"/>
      <c r="V138" s="1119"/>
      <c r="W138" s="1120"/>
      <c r="X138" s="1120"/>
      <c r="Y138" s="1120"/>
      <c r="Z138" s="1120"/>
      <c r="AA138" s="1120"/>
      <c r="AB138" s="1120"/>
      <c r="AC138" s="1121"/>
      <c r="AD138" s="1121"/>
      <c r="AE138" s="1121"/>
      <c r="AF138" s="1121"/>
      <c r="AG138" s="1121"/>
      <c r="AH138" s="1121"/>
      <c r="AI138" s="1121"/>
      <c r="AJ138" s="1121"/>
      <c r="AK138" s="1121"/>
      <c r="AL138" s="1121"/>
      <c r="AM138" s="1121"/>
      <c r="AN138" s="1121"/>
      <c r="AO138" s="1121"/>
      <c r="AP138" s="1121"/>
      <c r="AQ138" s="1121"/>
      <c r="AR138" s="1121"/>
      <c r="AS138" s="1121"/>
      <c r="AT138" s="1121"/>
      <c r="AU138" s="1121"/>
      <c r="AV138" s="1121"/>
      <c r="AW138" s="1121"/>
      <c r="AX138" s="1121"/>
      <c r="AY138" s="1122"/>
      <c r="AZ138" s="1123"/>
      <c r="BA138" s="1123"/>
      <c r="BB138" s="1123"/>
      <c r="BC138" s="1123"/>
      <c r="BD138" s="1123"/>
      <c r="BE138" s="1123"/>
      <c r="BF138" s="1124"/>
    </row>
    <row r="139" spans="1:58" ht="12" customHeight="1" x14ac:dyDescent="0.2">
      <c r="A139" s="1111"/>
      <c r="B139" s="1112"/>
      <c r="C139" s="1112"/>
      <c r="D139" s="1112"/>
      <c r="E139" s="1112"/>
      <c r="F139" s="1112"/>
      <c r="G139" s="1112"/>
      <c r="H139" s="1112"/>
      <c r="I139" s="1112"/>
      <c r="J139" s="1112"/>
      <c r="K139" s="1112"/>
      <c r="L139" s="1112"/>
      <c r="M139" s="1112"/>
      <c r="N139" s="1112"/>
      <c r="O139" s="1112"/>
      <c r="P139" s="1112"/>
      <c r="Q139" s="1112"/>
      <c r="R139" s="1112"/>
      <c r="S139" s="1112"/>
      <c r="T139" s="1112"/>
      <c r="U139" s="1112"/>
      <c r="V139" s="1112"/>
      <c r="W139" s="1113"/>
      <c r="X139" s="1113"/>
      <c r="Y139" s="1113"/>
      <c r="Z139" s="1113"/>
      <c r="AA139" s="1113"/>
      <c r="AB139" s="1113"/>
      <c r="AC139" s="1114"/>
      <c r="AD139" s="1114"/>
      <c r="AE139" s="1114"/>
      <c r="AF139" s="1114"/>
      <c r="AG139" s="1114"/>
      <c r="AH139" s="1114"/>
      <c r="AI139" s="1114"/>
      <c r="AJ139" s="1114"/>
      <c r="AK139" s="1114"/>
      <c r="AL139" s="1114"/>
      <c r="AM139" s="1114"/>
      <c r="AN139" s="1114"/>
      <c r="AO139" s="1114"/>
      <c r="AP139" s="1114"/>
      <c r="AQ139" s="1114"/>
      <c r="AR139" s="1114"/>
      <c r="AS139" s="1114"/>
      <c r="AT139" s="1114"/>
      <c r="AU139" s="1114"/>
      <c r="AV139" s="1114"/>
      <c r="AW139" s="1114"/>
      <c r="AX139" s="1114"/>
      <c r="AY139" s="1115"/>
      <c r="AZ139" s="1116"/>
      <c r="BA139" s="1116"/>
      <c r="BB139" s="1116"/>
      <c r="BC139" s="1116"/>
      <c r="BD139" s="1116"/>
      <c r="BE139" s="1116"/>
      <c r="BF139" s="1117"/>
    </row>
    <row r="140" spans="1:58" ht="12" customHeight="1" x14ac:dyDescent="0.2">
      <c r="A140" s="1118"/>
      <c r="B140" s="1119"/>
      <c r="C140" s="1119"/>
      <c r="D140" s="1119"/>
      <c r="E140" s="1119"/>
      <c r="F140" s="1119"/>
      <c r="G140" s="1119"/>
      <c r="H140" s="1119"/>
      <c r="I140" s="1119"/>
      <c r="J140" s="1119"/>
      <c r="K140" s="1119"/>
      <c r="L140" s="1119"/>
      <c r="M140" s="1119"/>
      <c r="N140" s="1119"/>
      <c r="O140" s="1119"/>
      <c r="P140" s="1119"/>
      <c r="Q140" s="1119"/>
      <c r="R140" s="1119"/>
      <c r="S140" s="1119"/>
      <c r="T140" s="1119"/>
      <c r="U140" s="1119"/>
      <c r="V140" s="1119"/>
      <c r="W140" s="1120"/>
      <c r="X140" s="1120"/>
      <c r="Y140" s="1120"/>
      <c r="Z140" s="1120"/>
      <c r="AA140" s="1120"/>
      <c r="AB140" s="1120"/>
      <c r="AC140" s="1121"/>
      <c r="AD140" s="1121"/>
      <c r="AE140" s="1121"/>
      <c r="AF140" s="1121"/>
      <c r="AG140" s="1121"/>
      <c r="AH140" s="1121"/>
      <c r="AI140" s="1121"/>
      <c r="AJ140" s="1121"/>
      <c r="AK140" s="1121"/>
      <c r="AL140" s="1121"/>
      <c r="AM140" s="1121"/>
      <c r="AN140" s="1121"/>
      <c r="AO140" s="1121"/>
      <c r="AP140" s="1121"/>
      <c r="AQ140" s="1121"/>
      <c r="AR140" s="1121"/>
      <c r="AS140" s="1121"/>
      <c r="AT140" s="1121"/>
      <c r="AU140" s="1121"/>
      <c r="AV140" s="1121"/>
      <c r="AW140" s="1121"/>
      <c r="AX140" s="1121"/>
      <c r="AY140" s="1122"/>
      <c r="AZ140" s="1123"/>
      <c r="BA140" s="1123"/>
      <c r="BB140" s="1123"/>
      <c r="BC140" s="1123"/>
      <c r="BD140" s="1123"/>
      <c r="BE140" s="1123"/>
      <c r="BF140" s="1124"/>
    </row>
    <row r="141" spans="1:58" ht="12" customHeight="1" x14ac:dyDescent="0.2">
      <c r="A141" s="1111"/>
      <c r="B141" s="1112"/>
      <c r="C141" s="1112"/>
      <c r="D141" s="1112"/>
      <c r="E141" s="1112"/>
      <c r="F141" s="1112"/>
      <c r="G141" s="1112"/>
      <c r="H141" s="1112"/>
      <c r="I141" s="1112"/>
      <c r="J141" s="1112"/>
      <c r="K141" s="1112"/>
      <c r="L141" s="1112"/>
      <c r="M141" s="1112"/>
      <c r="N141" s="1112"/>
      <c r="O141" s="1112"/>
      <c r="P141" s="1112"/>
      <c r="Q141" s="1112"/>
      <c r="R141" s="1112"/>
      <c r="S141" s="1112"/>
      <c r="T141" s="1112"/>
      <c r="U141" s="1112"/>
      <c r="V141" s="1112"/>
      <c r="W141" s="1113"/>
      <c r="X141" s="1113"/>
      <c r="Y141" s="1113"/>
      <c r="Z141" s="1113"/>
      <c r="AA141" s="1113"/>
      <c r="AB141" s="1113"/>
      <c r="AC141" s="1114"/>
      <c r="AD141" s="1114"/>
      <c r="AE141" s="1114"/>
      <c r="AF141" s="1114"/>
      <c r="AG141" s="1114"/>
      <c r="AH141" s="1114"/>
      <c r="AI141" s="1114"/>
      <c r="AJ141" s="1114"/>
      <c r="AK141" s="1114"/>
      <c r="AL141" s="1114"/>
      <c r="AM141" s="1114"/>
      <c r="AN141" s="1114"/>
      <c r="AO141" s="1114"/>
      <c r="AP141" s="1114"/>
      <c r="AQ141" s="1114"/>
      <c r="AR141" s="1114"/>
      <c r="AS141" s="1114"/>
      <c r="AT141" s="1114"/>
      <c r="AU141" s="1114"/>
      <c r="AV141" s="1114"/>
      <c r="AW141" s="1114"/>
      <c r="AX141" s="1114"/>
      <c r="AY141" s="1115"/>
      <c r="AZ141" s="1116"/>
      <c r="BA141" s="1116"/>
      <c r="BB141" s="1116"/>
      <c r="BC141" s="1116"/>
      <c r="BD141" s="1116"/>
      <c r="BE141" s="1116"/>
      <c r="BF141" s="1117"/>
    </row>
    <row r="142" spans="1:58" ht="12" customHeight="1" x14ac:dyDescent="0.2">
      <c r="A142" s="1118"/>
      <c r="B142" s="1119"/>
      <c r="C142" s="1119"/>
      <c r="D142" s="1119"/>
      <c r="E142" s="1119"/>
      <c r="F142" s="1119"/>
      <c r="G142" s="1119"/>
      <c r="H142" s="1119"/>
      <c r="I142" s="1119"/>
      <c r="J142" s="1119"/>
      <c r="K142" s="1119"/>
      <c r="L142" s="1119"/>
      <c r="M142" s="1119"/>
      <c r="N142" s="1119"/>
      <c r="O142" s="1119"/>
      <c r="P142" s="1119"/>
      <c r="Q142" s="1119"/>
      <c r="R142" s="1119"/>
      <c r="S142" s="1119"/>
      <c r="T142" s="1119"/>
      <c r="U142" s="1119"/>
      <c r="V142" s="1119"/>
      <c r="W142" s="1120"/>
      <c r="X142" s="1120"/>
      <c r="Y142" s="1120"/>
      <c r="Z142" s="1120"/>
      <c r="AA142" s="1120"/>
      <c r="AB142" s="1120"/>
      <c r="AC142" s="1121"/>
      <c r="AD142" s="1121"/>
      <c r="AE142" s="1121"/>
      <c r="AF142" s="1121"/>
      <c r="AG142" s="1121"/>
      <c r="AH142" s="1121"/>
      <c r="AI142" s="1121"/>
      <c r="AJ142" s="1121"/>
      <c r="AK142" s="1121"/>
      <c r="AL142" s="1121"/>
      <c r="AM142" s="1121"/>
      <c r="AN142" s="1121"/>
      <c r="AO142" s="1121"/>
      <c r="AP142" s="1121"/>
      <c r="AQ142" s="1121"/>
      <c r="AR142" s="1121"/>
      <c r="AS142" s="1121"/>
      <c r="AT142" s="1121"/>
      <c r="AU142" s="1121"/>
      <c r="AV142" s="1121"/>
      <c r="AW142" s="1121"/>
      <c r="AX142" s="1121"/>
      <c r="AY142" s="1122"/>
      <c r="AZ142" s="1123"/>
      <c r="BA142" s="1123"/>
      <c r="BB142" s="1123"/>
      <c r="BC142" s="1123"/>
      <c r="BD142" s="1123"/>
      <c r="BE142" s="1123"/>
      <c r="BF142" s="1124"/>
    </row>
    <row r="143" spans="1:58" ht="12" customHeight="1" x14ac:dyDescent="0.2">
      <c r="A143" s="1111"/>
      <c r="B143" s="1112"/>
      <c r="C143" s="1112"/>
      <c r="D143" s="1112"/>
      <c r="E143" s="1112"/>
      <c r="F143" s="1112"/>
      <c r="G143" s="1112"/>
      <c r="H143" s="1112"/>
      <c r="I143" s="1112"/>
      <c r="J143" s="1112"/>
      <c r="K143" s="1112"/>
      <c r="L143" s="1112"/>
      <c r="M143" s="1112"/>
      <c r="N143" s="1112"/>
      <c r="O143" s="1112"/>
      <c r="P143" s="1112"/>
      <c r="Q143" s="1112"/>
      <c r="R143" s="1112"/>
      <c r="S143" s="1112"/>
      <c r="T143" s="1112"/>
      <c r="U143" s="1112"/>
      <c r="V143" s="1112"/>
      <c r="W143" s="1113"/>
      <c r="X143" s="1113"/>
      <c r="Y143" s="1113"/>
      <c r="Z143" s="1113"/>
      <c r="AA143" s="1113"/>
      <c r="AB143" s="1113"/>
      <c r="AC143" s="1114"/>
      <c r="AD143" s="1114"/>
      <c r="AE143" s="1114"/>
      <c r="AF143" s="1114"/>
      <c r="AG143" s="1114"/>
      <c r="AH143" s="1114"/>
      <c r="AI143" s="1114"/>
      <c r="AJ143" s="1114"/>
      <c r="AK143" s="1114"/>
      <c r="AL143" s="1114"/>
      <c r="AM143" s="1114"/>
      <c r="AN143" s="1114"/>
      <c r="AO143" s="1114"/>
      <c r="AP143" s="1114"/>
      <c r="AQ143" s="1114"/>
      <c r="AR143" s="1114"/>
      <c r="AS143" s="1114"/>
      <c r="AT143" s="1114"/>
      <c r="AU143" s="1114"/>
      <c r="AV143" s="1114"/>
      <c r="AW143" s="1114"/>
      <c r="AX143" s="1114"/>
      <c r="AY143" s="1115"/>
      <c r="AZ143" s="1116"/>
      <c r="BA143" s="1116"/>
      <c r="BB143" s="1116"/>
      <c r="BC143" s="1116"/>
      <c r="BD143" s="1116"/>
      <c r="BE143" s="1116"/>
      <c r="BF143" s="1117"/>
    </row>
    <row r="144" spans="1:58" ht="12" customHeight="1" x14ac:dyDescent="0.2">
      <c r="A144" s="1118"/>
      <c r="B144" s="1119"/>
      <c r="C144" s="1119"/>
      <c r="D144" s="1119"/>
      <c r="E144" s="1119"/>
      <c r="F144" s="1119"/>
      <c r="G144" s="1119"/>
      <c r="H144" s="1119"/>
      <c r="I144" s="1119"/>
      <c r="J144" s="1119"/>
      <c r="K144" s="1119"/>
      <c r="L144" s="1119"/>
      <c r="M144" s="1119"/>
      <c r="N144" s="1119"/>
      <c r="O144" s="1119"/>
      <c r="P144" s="1119"/>
      <c r="Q144" s="1119"/>
      <c r="R144" s="1119"/>
      <c r="S144" s="1119"/>
      <c r="T144" s="1119"/>
      <c r="U144" s="1119"/>
      <c r="V144" s="1119"/>
      <c r="W144" s="1120"/>
      <c r="X144" s="1120"/>
      <c r="Y144" s="1120"/>
      <c r="Z144" s="1120"/>
      <c r="AA144" s="1120"/>
      <c r="AB144" s="1120"/>
      <c r="AC144" s="1121"/>
      <c r="AD144" s="1121"/>
      <c r="AE144" s="1121"/>
      <c r="AF144" s="1121"/>
      <c r="AG144" s="1121"/>
      <c r="AH144" s="1121"/>
      <c r="AI144" s="1121"/>
      <c r="AJ144" s="1121"/>
      <c r="AK144" s="1121"/>
      <c r="AL144" s="1121"/>
      <c r="AM144" s="1121"/>
      <c r="AN144" s="1121"/>
      <c r="AO144" s="1121"/>
      <c r="AP144" s="1121"/>
      <c r="AQ144" s="1121"/>
      <c r="AR144" s="1121"/>
      <c r="AS144" s="1121"/>
      <c r="AT144" s="1121"/>
      <c r="AU144" s="1121"/>
      <c r="AV144" s="1121"/>
      <c r="AW144" s="1121"/>
      <c r="AX144" s="1121"/>
      <c r="AY144" s="1122"/>
      <c r="AZ144" s="1123"/>
      <c r="BA144" s="1123"/>
      <c r="BB144" s="1123"/>
      <c r="BC144" s="1123"/>
      <c r="BD144" s="1123"/>
      <c r="BE144" s="1123"/>
      <c r="BF144" s="1124"/>
    </row>
    <row r="145" spans="1:58" ht="12" customHeight="1" x14ac:dyDescent="0.2">
      <c r="A145" s="1111"/>
      <c r="B145" s="1112"/>
      <c r="C145" s="1112"/>
      <c r="D145" s="1112"/>
      <c r="E145" s="1112"/>
      <c r="F145" s="1112"/>
      <c r="G145" s="1112"/>
      <c r="H145" s="1112"/>
      <c r="I145" s="1112"/>
      <c r="J145" s="1112"/>
      <c r="K145" s="1112"/>
      <c r="L145" s="1112"/>
      <c r="M145" s="1112"/>
      <c r="N145" s="1112"/>
      <c r="O145" s="1112"/>
      <c r="P145" s="1112"/>
      <c r="Q145" s="1112"/>
      <c r="R145" s="1112"/>
      <c r="S145" s="1112"/>
      <c r="T145" s="1112"/>
      <c r="U145" s="1112"/>
      <c r="V145" s="1112"/>
      <c r="W145" s="1113"/>
      <c r="X145" s="1113"/>
      <c r="Y145" s="1113"/>
      <c r="Z145" s="1113"/>
      <c r="AA145" s="1113"/>
      <c r="AB145" s="1113"/>
      <c r="AC145" s="1114"/>
      <c r="AD145" s="1114"/>
      <c r="AE145" s="1114"/>
      <c r="AF145" s="1114"/>
      <c r="AG145" s="1114"/>
      <c r="AH145" s="1114"/>
      <c r="AI145" s="1114"/>
      <c r="AJ145" s="1114"/>
      <c r="AK145" s="1114"/>
      <c r="AL145" s="1114"/>
      <c r="AM145" s="1114"/>
      <c r="AN145" s="1114"/>
      <c r="AO145" s="1114"/>
      <c r="AP145" s="1114"/>
      <c r="AQ145" s="1114"/>
      <c r="AR145" s="1114"/>
      <c r="AS145" s="1114"/>
      <c r="AT145" s="1114"/>
      <c r="AU145" s="1114"/>
      <c r="AV145" s="1114"/>
      <c r="AW145" s="1114"/>
      <c r="AX145" s="1114"/>
      <c r="AY145" s="1115"/>
      <c r="AZ145" s="1116"/>
      <c r="BA145" s="1116"/>
      <c r="BB145" s="1116"/>
      <c r="BC145" s="1116"/>
      <c r="BD145" s="1116"/>
      <c r="BE145" s="1116"/>
      <c r="BF145" s="1117"/>
    </row>
    <row r="146" spans="1:58" ht="12" customHeight="1" x14ac:dyDescent="0.2">
      <c r="A146" s="1118"/>
      <c r="B146" s="1119"/>
      <c r="C146" s="1119"/>
      <c r="D146" s="1119"/>
      <c r="E146" s="1119"/>
      <c r="F146" s="1119"/>
      <c r="G146" s="1119"/>
      <c r="H146" s="1119"/>
      <c r="I146" s="1119"/>
      <c r="J146" s="1119"/>
      <c r="K146" s="1119"/>
      <c r="L146" s="1119"/>
      <c r="M146" s="1119"/>
      <c r="N146" s="1119"/>
      <c r="O146" s="1119"/>
      <c r="P146" s="1119"/>
      <c r="Q146" s="1119"/>
      <c r="R146" s="1119"/>
      <c r="S146" s="1119"/>
      <c r="T146" s="1119"/>
      <c r="U146" s="1119"/>
      <c r="V146" s="1119"/>
      <c r="W146" s="1120"/>
      <c r="X146" s="1120"/>
      <c r="Y146" s="1120"/>
      <c r="Z146" s="1120"/>
      <c r="AA146" s="1120"/>
      <c r="AB146" s="1120"/>
      <c r="AC146" s="1121"/>
      <c r="AD146" s="1121"/>
      <c r="AE146" s="1121"/>
      <c r="AF146" s="1121"/>
      <c r="AG146" s="1121"/>
      <c r="AH146" s="1121"/>
      <c r="AI146" s="1121"/>
      <c r="AJ146" s="1121"/>
      <c r="AK146" s="1121"/>
      <c r="AL146" s="1121"/>
      <c r="AM146" s="1121"/>
      <c r="AN146" s="1121"/>
      <c r="AO146" s="1121"/>
      <c r="AP146" s="1121"/>
      <c r="AQ146" s="1121"/>
      <c r="AR146" s="1121"/>
      <c r="AS146" s="1121"/>
      <c r="AT146" s="1121"/>
      <c r="AU146" s="1121"/>
      <c r="AV146" s="1121"/>
      <c r="AW146" s="1121"/>
      <c r="AX146" s="1121"/>
      <c r="AY146" s="1122"/>
      <c r="AZ146" s="1123"/>
      <c r="BA146" s="1123"/>
      <c r="BB146" s="1123"/>
      <c r="BC146" s="1123"/>
      <c r="BD146" s="1123"/>
      <c r="BE146" s="1123"/>
      <c r="BF146" s="1124"/>
    </row>
    <row r="147" spans="1:58" ht="12" customHeight="1" x14ac:dyDescent="0.2">
      <c r="A147" s="1111"/>
      <c r="B147" s="1112"/>
      <c r="C147" s="1112"/>
      <c r="D147" s="1112"/>
      <c r="E147" s="1112"/>
      <c r="F147" s="1112"/>
      <c r="G147" s="1112"/>
      <c r="H147" s="1112"/>
      <c r="I147" s="1112"/>
      <c r="J147" s="1112"/>
      <c r="K147" s="1112"/>
      <c r="L147" s="1112"/>
      <c r="M147" s="1112"/>
      <c r="N147" s="1112"/>
      <c r="O147" s="1112"/>
      <c r="P147" s="1112"/>
      <c r="Q147" s="1112"/>
      <c r="R147" s="1112"/>
      <c r="S147" s="1112"/>
      <c r="T147" s="1112"/>
      <c r="U147" s="1112"/>
      <c r="V147" s="1112"/>
      <c r="W147" s="1113"/>
      <c r="X147" s="1113"/>
      <c r="Y147" s="1113"/>
      <c r="Z147" s="1113"/>
      <c r="AA147" s="1113"/>
      <c r="AB147" s="1113"/>
      <c r="AC147" s="1114"/>
      <c r="AD147" s="1114"/>
      <c r="AE147" s="1114"/>
      <c r="AF147" s="1114"/>
      <c r="AG147" s="1114"/>
      <c r="AH147" s="1114"/>
      <c r="AI147" s="1114"/>
      <c r="AJ147" s="1114"/>
      <c r="AK147" s="1114"/>
      <c r="AL147" s="1114"/>
      <c r="AM147" s="1114"/>
      <c r="AN147" s="1114"/>
      <c r="AO147" s="1114"/>
      <c r="AP147" s="1114"/>
      <c r="AQ147" s="1114"/>
      <c r="AR147" s="1114"/>
      <c r="AS147" s="1114"/>
      <c r="AT147" s="1114"/>
      <c r="AU147" s="1114"/>
      <c r="AV147" s="1114"/>
      <c r="AW147" s="1114"/>
      <c r="AX147" s="1114"/>
      <c r="AY147" s="1115"/>
      <c r="AZ147" s="1116"/>
      <c r="BA147" s="1116"/>
      <c r="BB147" s="1116"/>
      <c r="BC147" s="1116"/>
      <c r="BD147" s="1116"/>
      <c r="BE147" s="1116"/>
      <c r="BF147" s="1117"/>
    </row>
    <row r="148" spans="1:58" ht="12" customHeight="1" x14ac:dyDescent="0.2">
      <c r="A148" s="1118"/>
      <c r="B148" s="1119"/>
      <c r="C148" s="1119"/>
      <c r="D148" s="1119"/>
      <c r="E148" s="1119"/>
      <c r="F148" s="1119"/>
      <c r="G148" s="1119"/>
      <c r="H148" s="1119"/>
      <c r="I148" s="1119"/>
      <c r="J148" s="1119"/>
      <c r="K148" s="1119"/>
      <c r="L148" s="1119"/>
      <c r="M148" s="1119"/>
      <c r="N148" s="1119"/>
      <c r="O148" s="1119"/>
      <c r="P148" s="1119"/>
      <c r="Q148" s="1119"/>
      <c r="R148" s="1119"/>
      <c r="S148" s="1119"/>
      <c r="T148" s="1119"/>
      <c r="U148" s="1119"/>
      <c r="V148" s="1119"/>
      <c r="W148" s="1120"/>
      <c r="X148" s="1120"/>
      <c r="Y148" s="1120"/>
      <c r="Z148" s="1120"/>
      <c r="AA148" s="1120"/>
      <c r="AB148" s="1120"/>
      <c r="AC148" s="1121"/>
      <c r="AD148" s="1121"/>
      <c r="AE148" s="1121"/>
      <c r="AF148" s="1121"/>
      <c r="AG148" s="1121"/>
      <c r="AH148" s="1121"/>
      <c r="AI148" s="1121"/>
      <c r="AJ148" s="1121"/>
      <c r="AK148" s="1121"/>
      <c r="AL148" s="1121"/>
      <c r="AM148" s="1121"/>
      <c r="AN148" s="1121"/>
      <c r="AO148" s="1121"/>
      <c r="AP148" s="1121"/>
      <c r="AQ148" s="1121"/>
      <c r="AR148" s="1121"/>
      <c r="AS148" s="1121"/>
      <c r="AT148" s="1121"/>
      <c r="AU148" s="1121"/>
      <c r="AV148" s="1121"/>
      <c r="AW148" s="1121"/>
      <c r="AX148" s="1121"/>
      <c r="AY148" s="1122"/>
      <c r="AZ148" s="1123"/>
      <c r="BA148" s="1123"/>
      <c r="BB148" s="1123"/>
      <c r="BC148" s="1123"/>
      <c r="BD148" s="1123"/>
      <c r="BE148" s="1123"/>
      <c r="BF148" s="1124"/>
    </row>
    <row r="149" spans="1:58" ht="12" customHeight="1" x14ac:dyDescent="0.2">
      <c r="A149" s="1111"/>
      <c r="B149" s="1112"/>
      <c r="C149" s="1112"/>
      <c r="D149" s="1112"/>
      <c r="E149" s="1112"/>
      <c r="F149" s="1112"/>
      <c r="G149" s="1112"/>
      <c r="H149" s="1112"/>
      <c r="I149" s="1112"/>
      <c r="J149" s="1112"/>
      <c r="K149" s="1112"/>
      <c r="L149" s="1112"/>
      <c r="M149" s="1112"/>
      <c r="N149" s="1112"/>
      <c r="O149" s="1112"/>
      <c r="P149" s="1112"/>
      <c r="Q149" s="1112"/>
      <c r="R149" s="1112"/>
      <c r="S149" s="1112"/>
      <c r="T149" s="1112"/>
      <c r="U149" s="1112"/>
      <c r="V149" s="1112"/>
      <c r="W149" s="1113"/>
      <c r="X149" s="1113"/>
      <c r="Y149" s="1113"/>
      <c r="Z149" s="1113"/>
      <c r="AA149" s="1113"/>
      <c r="AB149" s="1113"/>
      <c r="AC149" s="1114"/>
      <c r="AD149" s="1114"/>
      <c r="AE149" s="1114"/>
      <c r="AF149" s="1114"/>
      <c r="AG149" s="1114"/>
      <c r="AH149" s="1114"/>
      <c r="AI149" s="1114"/>
      <c r="AJ149" s="1114"/>
      <c r="AK149" s="1114"/>
      <c r="AL149" s="1114"/>
      <c r="AM149" s="1114"/>
      <c r="AN149" s="1114"/>
      <c r="AO149" s="1114"/>
      <c r="AP149" s="1114"/>
      <c r="AQ149" s="1114"/>
      <c r="AR149" s="1114"/>
      <c r="AS149" s="1114"/>
      <c r="AT149" s="1114"/>
      <c r="AU149" s="1114"/>
      <c r="AV149" s="1114"/>
      <c r="AW149" s="1114"/>
      <c r="AX149" s="1114"/>
      <c r="AY149" s="1115"/>
      <c r="AZ149" s="1116"/>
      <c r="BA149" s="1116"/>
      <c r="BB149" s="1116"/>
      <c r="BC149" s="1116"/>
      <c r="BD149" s="1116"/>
      <c r="BE149" s="1116"/>
      <c r="BF149" s="1117"/>
    </row>
    <row r="150" spans="1:58" ht="12" customHeight="1" x14ac:dyDescent="0.2">
      <c r="A150" s="1118"/>
      <c r="B150" s="1119"/>
      <c r="C150" s="1119"/>
      <c r="D150" s="1119"/>
      <c r="E150" s="1119"/>
      <c r="F150" s="1119"/>
      <c r="G150" s="1119"/>
      <c r="H150" s="1119"/>
      <c r="I150" s="1119"/>
      <c r="J150" s="1119"/>
      <c r="K150" s="1119"/>
      <c r="L150" s="1119"/>
      <c r="M150" s="1119"/>
      <c r="N150" s="1119"/>
      <c r="O150" s="1119"/>
      <c r="P150" s="1119"/>
      <c r="Q150" s="1119"/>
      <c r="R150" s="1119"/>
      <c r="S150" s="1119"/>
      <c r="T150" s="1119"/>
      <c r="U150" s="1119"/>
      <c r="V150" s="1119"/>
      <c r="W150" s="1120"/>
      <c r="X150" s="1120"/>
      <c r="Y150" s="1120"/>
      <c r="Z150" s="1120"/>
      <c r="AA150" s="1120"/>
      <c r="AB150" s="1120"/>
      <c r="AC150" s="1121"/>
      <c r="AD150" s="1121"/>
      <c r="AE150" s="1121"/>
      <c r="AF150" s="1121"/>
      <c r="AG150" s="1121"/>
      <c r="AH150" s="1121"/>
      <c r="AI150" s="1121"/>
      <c r="AJ150" s="1121"/>
      <c r="AK150" s="1121"/>
      <c r="AL150" s="1121"/>
      <c r="AM150" s="1121"/>
      <c r="AN150" s="1121"/>
      <c r="AO150" s="1121"/>
      <c r="AP150" s="1121"/>
      <c r="AQ150" s="1121"/>
      <c r="AR150" s="1121"/>
      <c r="AS150" s="1121"/>
      <c r="AT150" s="1121"/>
      <c r="AU150" s="1121"/>
      <c r="AV150" s="1121"/>
      <c r="AW150" s="1121"/>
      <c r="AX150" s="1121"/>
      <c r="AY150" s="1122"/>
      <c r="AZ150" s="1123"/>
      <c r="BA150" s="1123"/>
      <c r="BB150" s="1123"/>
      <c r="BC150" s="1123"/>
      <c r="BD150" s="1123"/>
      <c r="BE150" s="1123"/>
      <c r="BF150" s="1124"/>
    </row>
    <row r="151" spans="1:58" ht="12" customHeight="1" x14ac:dyDescent="0.2">
      <c r="A151" s="1111"/>
      <c r="B151" s="1112"/>
      <c r="C151" s="1112"/>
      <c r="D151" s="1112"/>
      <c r="E151" s="1112"/>
      <c r="F151" s="1112"/>
      <c r="G151" s="1112"/>
      <c r="H151" s="1112"/>
      <c r="I151" s="1112"/>
      <c r="J151" s="1112"/>
      <c r="K151" s="1112"/>
      <c r="L151" s="1112"/>
      <c r="M151" s="1112"/>
      <c r="N151" s="1112"/>
      <c r="O151" s="1112"/>
      <c r="P151" s="1112"/>
      <c r="Q151" s="1112"/>
      <c r="R151" s="1112"/>
      <c r="S151" s="1112"/>
      <c r="T151" s="1112"/>
      <c r="U151" s="1112"/>
      <c r="V151" s="1112"/>
      <c r="W151" s="1113"/>
      <c r="X151" s="1113"/>
      <c r="Y151" s="1113"/>
      <c r="Z151" s="1113"/>
      <c r="AA151" s="1113"/>
      <c r="AB151" s="1113"/>
      <c r="AC151" s="1114"/>
      <c r="AD151" s="1114"/>
      <c r="AE151" s="1114"/>
      <c r="AF151" s="1114"/>
      <c r="AG151" s="1114"/>
      <c r="AH151" s="1114"/>
      <c r="AI151" s="1114"/>
      <c r="AJ151" s="1114"/>
      <c r="AK151" s="1114"/>
      <c r="AL151" s="1114"/>
      <c r="AM151" s="1114"/>
      <c r="AN151" s="1114"/>
      <c r="AO151" s="1114"/>
      <c r="AP151" s="1114"/>
      <c r="AQ151" s="1114"/>
      <c r="AR151" s="1114"/>
      <c r="AS151" s="1114"/>
      <c r="AT151" s="1114"/>
      <c r="AU151" s="1114"/>
      <c r="AV151" s="1114"/>
      <c r="AW151" s="1114"/>
      <c r="AX151" s="1114"/>
      <c r="AY151" s="1115"/>
      <c r="AZ151" s="1116"/>
      <c r="BA151" s="1116"/>
      <c r="BB151" s="1116"/>
      <c r="BC151" s="1116"/>
      <c r="BD151" s="1116"/>
      <c r="BE151" s="1116"/>
      <c r="BF151" s="1117"/>
    </row>
    <row r="152" spans="1:58" ht="12" customHeight="1" x14ac:dyDescent="0.2">
      <c r="A152" s="1118"/>
      <c r="B152" s="1119"/>
      <c r="C152" s="1119"/>
      <c r="D152" s="1119"/>
      <c r="E152" s="1119"/>
      <c r="F152" s="1119"/>
      <c r="G152" s="1119"/>
      <c r="H152" s="1119"/>
      <c r="I152" s="1119"/>
      <c r="J152" s="1119"/>
      <c r="K152" s="1119"/>
      <c r="L152" s="1119"/>
      <c r="M152" s="1119"/>
      <c r="N152" s="1119"/>
      <c r="O152" s="1119"/>
      <c r="P152" s="1119"/>
      <c r="Q152" s="1119"/>
      <c r="R152" s="1119"/>
      <c r="S152" s="1119"/>
      <c r="T152" s="1119"/>
      <c r="U152" s="1119"/>
      <c r="V152" s="1119"/>
      <c r="W152" s="1120"/>
      <c r="X152" s="1120"/>
      <c r="Y152" s="1120"/>
      <c r="Z152" s="1120"/>
      <c r="AA152" s="1120"/>
      <c r="AB152" s="1120"/>
      <c r="AC152" s="1121"/>
      <c r="AD152" s="1121"/>
      <c r="AE152" s="1121"/>
      <c r="AF152" s="1121"/>
      <c r="AG152" s="1121"/>
      <c r="AH152" s="1121"/>
      <c r="AI152" s="1121"/>
      <c r="AJ152" s="1121"/>
      <c r="AK152" s="1121"/>
      <c r="AL152" s="1121"/>
      <c r="AM152" s="1121"/>
      <c r="AN152" s="1121"/>
      <c r="AO152" s="1121"/>
      <c r="AP152" s="1121"/>
      <c r="AQ152" s="1121"/>
      <c r="AR152" s="1121"/>
      <c r="AS152" s="1121"/>
      <c r="AT152" s="1121"/>
      <c r="AU152" s="1121"/>
      <c r="AV152" s="1121"/>
      <c r="AW152" s="1121"/>
      <c r="AX152" s="1121"/>
      <c r="AY152" s="1122"/>
      <c r="AZ152" s="1123"/>
      <c r="BA152" s="1123"/>
      <c r="BB152" s="1123"/>
      <c r="BC152" s="1123"/>
      <c r="BD152" s="1123"/>
      <c r="BE152" s="1123"/>
      <c r="BF152" s="1124"/>
    </row>
    <row r="153" spans="1:58" ht="12" customHeight="1" x14ac:dyDescent="0.2">
      <c r="A153" s="1111"/>
      <c r="B153" s="1112"/>
      <c r="C153" s="1112"/>
      <c r="D153" s="1112"/>
      <c r="E153" s="1112"/>
      <c r="F153" s="1112"/>
      <c r="G153" s="1112"/>
      <c r="H153" s="1112"/>
      <c r="I153" s="1112"/>
      <c r="J153" s="1112"/>
      <c r="K153" s="1112"/>
      <c r="L153" s="1112"/>
      <c r="M153" s="1112"/>
      <c r="N153" s="1112"/>
      <c r="O153" s="1112"/>
      <c r="P153" s="1112"/>
      <c r="Q153" s="1112"/>
      <c r="R153" s="1112"/>
      <c r="S153" s="1112"/>
      <c r="T153" s="1112"/>
      <c r="U153" s="1112"/>
      <c r="V153" s="1112"/>
      <c r="W153" s="1113"/>
      <c r="X153" s="1113"/>
      <c r="Y153" s="1113"/>
      <c r="Z153" s="1113"/>
      <c r="AA153" s="1113"/>
      <c r="AB153" s="1113"/>
      <c r="AC153" s="1114"/>
      <c r="AD153" s="1114"/>
      <c r="AE153" s="1114"/>
      <c r="AF153" s="1114"/>
      <c r="AG153" s="1114"/>
      <c r="AH153" s="1114"/>
      <c r="AI153" s="1114"/>
      <c r="AJ153" s="1114"/>
      <c r="AK153" s="1114"/>
      <c r="AL153" s="1114"/>
      <c r="AM153" s="1114"/>
      <c r="AN153" s="1114"/>
      <c r="AO153" s="1114"/>
      <c r="AP153" s="1114"/>
      <c r="AQ153" s="1114"/>
      <c r="AR153" s="1114"/>
      <c r="AS153" s="1114"/>
      <c r="AT153" s="1114"/>
      <c r="AU153" s="1114"/>
      <c r="AV153" s="1114"/>
      <c r="AW153" s="1114"/>
      <c r="AX153" s="1114"/>
      <c r="AY153" s="1115"/>
      <c r="AZ153" s="1116"/>
      <c r="BA153" s="1116"/>
      <c r="BB153" s="1116"/>
      <c r="BC153" s="1116"/>
      <c r="BD153" s="1116"/>
      <c r="BE153" s="1116"/>
      <c r="BF153" s="1117"/>
    </row>
    <row r="154" spans="1:58" ht="12" customHeight="1" x14ac:dyDescent="0.2">
      <c r="A154" s="1118"/>
      <c r="B154" s="1119"/>
      <c r="C154" s="1119"/>
      <c r="D154" s="1119"/>
      <c r="E154" s="1119"/>
      <c r="F154" s="1119"/>
      <c r="G154" s="1119"/>
      <c r="H154" s="1119"/>
      <c r="I154" s="1119"/>
      <c r="J154" s="1119"/>
      <c r="K154" s="1119"/>
      <c r="L154" s="1119"/>
      <c r="M154" s="1119"/>
      <c r="N154" s="1119"/>
      <c r="O154" s="1119"/>
      <c r="P154" s="1119"/>
      <c r="Q154" s="1119"/>
      <c r="R154" s="1119"/>
      <c r="S154" s="1119"/>
      <c r="T154" s="1119"/>
      <c r="U154" s="1119"/>
      <c r="V154" s="1119"/>
      <c r="W154" s="1120"/>
      <c r="X154" s="1120"/>
      <c r="Y154" s="1120"/>
      <c r="Z154" s="1120"/>
      <c r="AA154" s="1120"/>
      <c r="AB154" s="1120"/>
      <c r="AC154" s="1121"/>
      <c r="AD154" s="1121"/>
      <c r="AE154" s="1121"/>
      <c r="AF154" s="1121"/>
      <c r="AG154" s="1121"/>
      <c r="AH154" s="1121"/>
      <c r="AI154" s="1121"/>
      <c r="AJ154" s="1121"/>
      <c r="AK154" s="1121"/>
      <c r="AL154" s="1121"/>
      <c r="AM154" s="1121"/>
      <c r="AN154" s="1121"/>
      <c r="AO154" s="1121"/>
      <c r="AP154" s="1121"/>
      <c r="AQ154" s="1121"/>
      <c r="AR154" s="1121"/>
      <c r="AS154" s="1121"/>
      <c r="AT154" s="1121"/>
      <c r="AU154" s="1121"/>
      <c r="AV154" s="1121"/>
      <c r="AW154" s="1121"/>
      <c r="AX154" s="1121"/>
      <c r="AY154" s="1122"/>
      <c r="AZ154" s="1123"/>
      <c r="BA154" s="1123"/>
      <c r="BB154" s="1123"/>
      <c r="BC154" s="1123"/>
      <c r="BD154" s="1123"/>
      <c r="BE154" s="1123"/>
      <c r="BF154" s="1124"/>
    </row>
    <row r="155" spans="1:58" ht="12" customHeight="1" x14ac:dyDescent="0.2">
      <c r="A155" s="1111"/>
      <c r="B155" s="1112"/>
      <c r="C155" s="1112"/>
      <c r="D155" s="1112"/>
      <c r="E155" s="1112"/>
      <c r="F155" s="1112"/>
      <c r="G155" s="1112"/>
      <c r="H155" s="1112"/>
      <c r="I155" s="1112"/>
      <c r="J155" s="1112"/>
      <c r="K155" s="1112"/>
      <c r="L155" s="1112"/>
      <c r="M155" s="1112"/>
      <c r="N155" s="1112"/>
      <c r="O155" s="1112"/>
      <c r="P155" s="1112"/>
      <c r="Q155" s="1112"/>
      <c r="R155" s="1112"/>
      <c r="S155" s="1112"/>
      <c r="T155" s="1112"/>
      <c r="U155" s="1112"/>
      <c r="V155" s="1112"/>
      <c r="W155" s="1113"/>
      <c r="X155" s="1113"/>
      <c r="Y155" s="1113"/>
      <c r="Z155" s="1113"/>
      <c r="AA155" s="1113"/>
      <c r="AB155" s="1113"/>
      <c r="AC155" s="1114"/>
      <c r="AD155" s="1114"/>
      <c r="AE155" s="1114"/>
      <c r="AF155" s="1114"/>
      <c r="AG155" s="1114"/>
      <c r="AH155" s="1114"/>
      <c r="AI155" s="1114"/>
      <c r="AJ155" s="1114"/>
      <c r="AK155" s="1114"/>
      <c r="AL155" s="1114"/>
      <c r="AM155" s="1114"/>
      <c r="AN155" s="1114"/>
      <c r="AO155" s="1114"/>
      <c r="AP155" s="1114"/>
      <c r="AQ155" s="1114"/>
      <c r="AR155" s="1114"/>
      <c r="AS155" s="1114"/>
      <c r="AT155" s="1114"/>
      <c r="AU155" s="1114"/>
      <c r="AV155" s="1114"/>
      <c r="AW155" s="1114"/>
      <c r="AX155" s="1114"/>
      <c r="AY155" s="1115"/>
      <c r="AZ155" s="1116"/>
      <c r="BA155" s="1116"/>
      <c r="BB155" s="1116"/>
      <c r="BC155" s="1116"/>
      <c r="BD155" s="1116"/>
      <c r="BE155" s="1116"/>
      <c r="BF155" s="1117"/>
    </row>
    <row r="156" spans="1:58" ht="12" customHeight="1" x14ac:dyDescent="0.2">
      <c r="A156" s="1118"/>
      <c r="B156" s="1119"/>
      <c r="C156" s="1119"/>
      <c r="D156" s="1119"/>
      <c r="E156" s="1119"/>
      <c r="F156" s="1119"/>
      <c r="G156" s="1119"/>
      <c r="H156" s="1119"/>
      <c r="I156" s="1119"/>
      <c r="J156" s="1119"/>
      <c r="K156" s="1119"/>
      <c r="L156" s="1119"/>
      <c r="M156" s="1119"/>
      <c r="N156" s="1119"/>
      <c r="O156" s="1119"/>
      <c r="P156" s="1119"/>
      <c r="Q156" s="1119"/>
      <c r="R156" s="1119"/>
      <c r="S156" s="1119"/>
      <c r="T156" s="1119"/>
      <c r="U156" s="1119"/>
      <c r="V156" s="1119"/>
      <c r="W156" s="1120"/>
      <c r="X156" s="1120"/>
      <c r="Y156" s="1120"/>
      <c r="Z156" s="1120"/>
      <c r="AA156" s="1120"/>
      <c r="AB156" s="1120"/>
      <c r="AC156" s="1121"/>
      <c r="AD156" s="1121"/>
      <c r="AE156" s="1121"/>
      <c r="AF156" s="1121"/>
      <c r="AG156" s="1121"/>
      <c r="AH156" s="1121"/>
      <c r="AI156" s="1121"/>
      <c r="AJ156" s="1121"/>
      <c r="AK156" s="1121"/>
      <c r="AL156" s="1121"/>
      <c r="AM156" s="1121"/>
      <c r="AN156" s="1121"/>
      <c r="AO156" s="1121"/>
      <c r="AP156" s="1121"/>
      <c r="AQ156" s="1121"/>
      <c r="AR156" s="1121"/>
      <c r="AS156" s="1121"/>
      <c r="AT156" s="1121"/>
      <c r="AU156" s="1121"/>
      <c r="AV156" s="1121"/>
      <c r="AW156" s="1121"/>
      <c r="AX156" s="1121"/>
      <c r="AY156" s="1122"/>
      <c r="AZ156" s="1123"/>
      <c r="BA156" s="1123"/>
      <c r="BB156" s="1123"/>
      <c r="BC156" s="1123"/>
      <c r="BD156" s="1123"/>
      <c r="BE156" s="1123"/>
      <c r="BF156" s="1124"/>
    </row>
    <row r="157" spans="1:58" ht="12" customHeight="1" x14ac:dyDescent="0.2">
      <c r="A157" s="1111"/>
      <c r="B157" s="1112"/>
      <c r="C157" s="1112"/>
      <c r="D157" s="1112"/>
      <c r="E157" s="1112"/>
      <c r="F157" s="1112"/>
      <c r="G157" s="1112"/>
      <c r="H157" s="1112"/>
      <c r="I157" s="1112"/>
      <c r="J157" s="1112"/>
      <c r="K157" s="1112"/>
      <c r="L157" s="1112"/>
      <c r="M157" s="1112"/>
      <c r="N157" s="1112"/>
      <c r="O157" s="1112"/>
      <c r="P157" s="1112"/>
      <c r="Q157" s="1112"/>
      <c r="R157" s="1112"/>
      <c r="S157" s="1112"/>
      <c r="T157" s="1112"/>
      <c r="U157" s="1112"/>
      <c r="V157" s="1112"/>
      <c r="W157" s="1113"/>
      <c r="X157" s="1113"/>
      <c r="Y157" s="1113"/>
      <c r="Z157" s="1113"/>
      <c r="AA157" s="1113"/>
      <c r="AB157" s="1113"/>
      <c r="AC157" s="1114"/>
      <c r="AD157" s="1114"/>
      <c r="AE157" s="1114"/>
      <c r="AF157" s="1114"/>
      <c r="AG157" s="1114"/>
      <c r="AH157" s="1114"/>
      <c r="AI157" s="1114"/>
      <c r="AJ157" s="1114"/>
      <c r="AK157" s="1114"/>
      <c r="AL157" s="1114"/>
      <c r="AM157" s="1114"/>
      <c r="AN157" s="1114"/>
      <c r="AO157" s="1114"/>
      <c r="AP157" s="1114"/>
      <c r="AQ157" s="1114"/>
      <c r="AR157" s="1114"/>
      <c r="AS157" s="1114"/>
      <c r="AT157" s="1114"/>
      <c r="AU157" s="1114"/>
      <c r="AV157" s="1114"/>
      <c r="AW157" s="1114"/>
      <c r="AX157" s="1114"/>
      <c r="AY157" s="1115"/>
      <c r="AZ157" s="1116"/>
      <c r="BA157" s="1116"/>
      <c r="BB157" s="1116"/>
      <c r="BC157" s="1116"/>
      <c r="BD157" s="1116"/>
      <c r="BE157" s="1116"/>
      <c r="BF157" s="1117"/>
    </row>
    <row r="158" spans="1:58" ht="12" customHeight="1" x14ac:dyDescent="0.2">
      <c r="A158" s="1118"/>
      <c r="B158" s="1119"/>
      <c r="C158" s="1119"/>
      <c r="D158" s="1119"/>
      <c r="E158" s="1119"/>
      <c r="F158" s="1119"/>
      <c r="G158" s="1119"/>
      <c r="H158" s="1119"/>
      <c r="I158" s="1119"/>
      <c r="J158" s="1119"/>
      <c r="K158" s="1119"/>
      <c r="L158" s="1119"/>
      <c r="M158" s="1119"/>
      <c r="N158" s="1119"/>
      <c r="O158" s="1119"/>
      <c r="P158" s="1119"/>
      <c r="Q158" s="1119"/>
      <c r="R158" s="1119"/>
      <c r="S158" s="1119"/>
      <c r="T158" s="1119"/>
      <c r="U158" s="1119"/>
      <c r="V158" s="1119"/>
      <c r="W158" s="1120"/>
      <c r="X158" s="1120"/>
      <c r="Y158" s="1120"/>
      <c r="Z158" s="1120"/>
      <c r="AA158" s="1120"/>
      <c r="AB158" s="1120"/>
      <c r="AC158" s="1121"/>
      <c r="AD158" s="1121"/>
      <c r="AE158" s="1121"/>
      <c r="AF158" s="1121"/>
      <c r="AG158" s="1121"/>
      <c r="AH158" s="1121"/>
      <c r="AI158" s="1121"/>
      <c r="AJ158" s="1121"/>
      <c r="AK158" s="1121"/>
      <c r="AL158" s="1121"/>
      <c r="AM158" s="1121"/>
      <c r="AN158" s="1121"/>
      <c r="AO158" s="1121"/>
      <c r="AP158" s="1121"/>
      <c r="AQ158" s="1121"/>
      <c r="AR158" s="1121"/>
      <c r="AS158" s="1121"/>
      <c r="AT158" s="1121"/>
      <c r="AU158" s="1121"/>
      <c r="AV158" s="1121"/>
      <c r="AW158" s="1121"/>
      <c r="AX158" s="1121"/>
      <c r="AY158" s="1122"/>
      <c r="AZ158" s="1123"/>
      <c r="BA158" s="1123"/>
      <c r="BB158" s="1123"/>
      <c r="BC158" s="1123"/>
      <c r="BD158" s="1123"/>
      <c r="BE158" s="1123"/>
      <c r="BF158" s="1124"/>
    </row>
    <row r="159" spans="1:58" ht="12" customHeight="1" x14ac:dyDescent="0.2">
      <c r="A159" s="1111"/>
      <c r="B159" s="1112"/>
      <c r="C159" s="1112"/>
      <c r="D159" s="1112"/>
      <c r="E159" s="1112"/>
      <c r="F159" s="1112"/>
      <c r="G159" s="1112"/>
      <c r="H159" s="1112"/>
      <c r="I159" s="1112"/>
      <c r="J159" s="1112"/>
      <c r="K159" s="1112"/>
      <c r="L159" s="1112"/>
      <c r="M159" s="1112"/>
      <c r="N159" s="1112"/>
      <c r="O159" s="1112"/>
      <c r="P159" s="1112"/>
      <c r="Q159" s="1112"/>
      <c r="R159" s="1112"/>
      <c r="S159" s="1112"/>
      <c r="T159" s="1112"/>
      <c r="U159" s="1112"/>
      <c r="V159" s="1112"/>
      <c r="W159" s="1113"/>
      <c r="X159" s="1113"/>
      <c r="Y159" s="1113"/>
      <c r="Z159" s="1113"/>
      <c r="AA159" s="1113"/>
      <c r="AB159" s="1113"/>
      <c r="AC159" s="1114"/>
      <c r="AD159" s="1114"/>
      <c r="AE159" s="1114"/>
      <c r="AF159" s="1114"/>
      <c r="AG159" s="1114"/>
      <c r="AH159" s="1114"/>
      <c r="AI159" s="1114"/>
      <c r="AJ159" s="1114"/>
      <c r="AK159" s="1114"/>
      <c r="AL159" s="1114"/>
      <c r="AM159" s="1114"/>
      <c r="AN159" s="1114"/>
      <c r="AO159" s="1114"/>
      <c r="AP159" s="1114"/>
      <c r="AQ159" s="1114"/>
      <c r="AR159" s="1114"/>
      <c r="AS159" s="1114"/>
      <c r="AT159" s="1114"/>
      <c r="AU159" s="1114"/>
      <c r="AV159" s="1114"/>
      <c r="AW159" s="1114"/>
      <c r="AX159" s="1114"/>
      <c r="AY159" s="1115"/>
      <c r="AZ159" s="1116"/>
      <c r="BA159" s="1116"/>
      <c r="BB159" s="1116"/>
      <c r="BC159" s="1116"/>
      <c r="BD159" s="1116"/>
      <c r="BE159" s="1116"/>
      <c r="BF159" s="1117"/>
    </row>
    <row r="160" spans="1:58" ht="12" customHeight="1" x14ac:dyDescent="0.2">
      <c r="A160" s="1118"/>
      <c r="B160" s="1119"/>
      <c r="C160" s="1119"/>
      <c r="D160" s="1119"/>
      <c r="E160" s="1119"/>
      <c r="F160" s="1119"/>
      <c r="G160" s="1119"/>
      <c r="H160" s="1119"/>
      <c r="I160" s="1119"/>
      <c r="J160" s="1119"/>
      <c r="K160" s="1119"/>
      <c r="L160" s="1119"/>
      <c r="M160" s="1119"/>
      <c r="N160" s="1119"/>
      <c r="O160" s="1119"/>
      <c r="P160" s="1119"/>
      <c r="Q160" s="1119"/>
      <c r="R160" s="1119"/>
      <c r="S160" s="1119"/>
      <c r="T160" s="1119"/>
      <c r="U160" s="1119"/>
      <c r="V160" s="1119"/>
      <c r="W160" s="1132"/>
      <c r="X160" s="1132"/>
      <c r="Y160" s="1132"/>
      <c r="Z160" s="1132"/>
      <c r="AA160" s="1120"/>
      <c r="AB160" s="1120"/>
      <c r="AC160" s="1121"/>
      <c r="AD160" s="1121"/>
      <c r="AE160" s="1121"/>
      <c r="AF160" s="1121"/>
      <c r="AG160" s="1121"/>
      <c r="AH160" s="1121"/>
      <c r="AI160" s="1121"/>
      <c r="AJ160" s="1121"/>
      <c r="AK160" s="1121"/>
      <c r="AL160" s="1121"/>
      <c r="AM160" s="1121"/>
      <c r="AN160" s="1121"/>
      <c r="AO160" s="1121"/>
      <c r="AP160" s="1121"/>
      <c r="AQ160" s="1121"/>
      <c r="AR160" s="1121"/>
      <c r="AS160" s="1121"/>
      <c r="AT160" s="1121"/>
      <c r="AU160" s="1121"/>
      <c r="AV160" s="1121"/>
      <c r="AW160" s="1121"/>
      <c r="AX160" s="1121"/>
      <c r="AY160" s="1122"/>
      <c r="AZ160" s="1123"/>
      <c r="BA160" s="1123"/>
      <c r="BB160" s="1123"/>
      <c r="BC160" s="1123"/>
      <c r="BD160" s="1123"/>
      <c r="BE160" s="1123"/>
      <c r="BF160" s="1124"/>
    </row>
    <row r="161" spans="1:58" ht="12" customHeight="1" x14ac:dyDescent="0.2">
      <c r="A161" s="1111"/>
      <c r="B161" s="1112"/>
      <c r="C161" s="1112"/>
      <c r="D161" s="1112"/>
      <c r="E161" s="1112"/>
      <c r="F161" s="1112"/>
      <c r="G161" s="1112"/>
      <c r="H161" s="1112"/>
      <c r="I161" s="1112"/>
      <c r="J161" s="1112"/>
      <c r="K161" s="1112"/>
      <c r="L161" s="1112"/>
      <c r="M161" s="1112"/>
      <c r="N161" s="1112"/>
      <c r="O161" s="1112"/>
      <c r="P161" s="1112"/>
      <c r="Q161" s="1112"/>
      <c r="R161" s="1112"/>
      <c r="S161" s="1112"/>
      <c r="T161" s="1112"/>
      <c r="U161" s="1112"/>
      <c r="V161" s="1112"/>
      <c r="W161" s="1113"/>
      <c r="X161" s="1113"/>
      <c r="Y161" s="1113"/>
      <c r="Z161" s="1113"/>
      <c r="AA161" s="1113"/>
      <c r="AB161" s="1113"/>
      <c r="AC161" s="1114"/>
      <c r="AD161" s="1114"/>
      <c r="AE161" s="1114"/>
      <c r="AF161" s="1114"/>
      <c r="AG161" s="1114"/>
      <c r="AH161" s="1114"/>
      <c r="AI161" s="1114"/>
      <c r="AJ161" s="1114"/>
      <c r="AK161" s="1114"/>
      <c r="AL161" s="1114"/>
      <c r="AM161" s="1114"/>
      <c r="AN161" s="1114"/>
      <c r="AO161" s="1114"/>
      <c r="AP161" s="1114"/>
      <c r="AQ161" s="1114"/>
      <c r="AR161" s="1114"/>
      <c r="AS161" s="1114"/>
      <c r="AT161" s="1114"/>
      <c r="AU161" s="1114"/>
      <c r="AV161" s="1114"/>
      <c r="AW161" s="1114"/>
      <c r="AX161" s="1114"/>
      <c r="AY161" s="1115"/>
      <c r="AZ161" s="1116"/>
      <c r="BA161" s="1116"/>
      <c r="BB161" s="1116"/>
      <c r="BC161" s="1116"/>
      <c r="BD161" s="1116"/>
      <c r="BE161" s="1116"/>
      <c r="BF161" s="1117"/>
    </row>
    <row r="162" spans="1:58" ht="12" customHeight="1" x14ac:dyDescent="0.2">
      <c r="A162" s="1118"/>
      <c r="B162" s="1119"/>
      <c r="C162" s="1119"/>
      <c r="D162" s="1119"/>
      <c r="E162" s="1119"/>
      <c r="F162" s="1119"/>
      <c r="G162" s="1119"/>
      <c r="H162" s="1119"/>
      <c r="I162" s="1119"/>
      <c r="J162" s="1119"/>
      <c r="K162" s="1119"/>
      <c r="L162" s="1119"/>
      <c r="M162" s="1119"/>
      <c r="N162" s="1119"/>
      <c r="O162" s="1119"/>
      <c r="P162" s="1119"/>
      <c r="Q162" s="1119"/>
      <c r="R162" s="1119"/>
      <c r="S162" s="1119"/>
      <c r="T162" s="1119"/>
      <c r="U162" s="1119"/>
      <c r="V162" s="1119"/>
      <c r="W162" s="1120"/>
      <c r="X162" s="1120"/>
      <c r="Y162" s="1120"/>
      <c r="Z162" s="1120"/>
      <c r="AA162" s="1120"/>
      <c r="AB162" s="1120"/>
      <c r="AC162" s="1121"/>
      <c r="AD162" s="1121"/>
      <c r="AE162" s="1121"/>
      <c r="AF162" s="1121"/>
      <c r="AG162" s="1121"/>
      <c r="AH162" s="1121"/>
      <c r="AI162" s="1121"/>
      <c r="AJ162" s="1121"/>
      <c r="AK162" s="1121"/>
      <c r="AL162" s="1121"/>
      <c r="AM162" s="1121"/>
      <c r="AN162" s="1121"/>
      <c r="AO162" s="1121"/>
      <c r="AP162" s="1121"/>
      <c r="AQ162" s="1121"/>
      <c r="AR162" s="1121"/>
      <c r="AS162" s="1121"/>
      <c r="AT162" s="1121"/>
      <c r="AU162" s="1121"/>
      <c r="AV162" s="1121"/>
      <c r="AW162" s="1121"/>
      <c r="AX162" s="1121"/>
      <c r="AY162" s="1122"/>
      <c r="AZ162" s="1123"/>
      <c r="BA162" s="1123"/>
      <c r="BB162" s="1123"/>
      <c r="BC162" s="1123"/>
      <c r="BD162" s="1123"/>
      <c r="BE162" s="1123"/>
      <c r="BF162" s="1124"/>
    </row>
    <row r="163" spans="1:58" ht="12" customHeight="1" x14ac:dyDescent="0.2">
      <c r="A163" s="1111"/>
      <c r="B163" s="1112"/>
      <c r="C163" s="1112"/>
      <c r="D163" s="1112"/>
      <c r="E163" s="1112"/>
      <c r="F163" s="1112"/>
      <c r="G163" s="1112"/>
      <c r="H163" s="1112"/>
      <c r="I163" s="1112"/>
      <c r="J163" s="1112"/>
      <c r="K163" s="1112"/>
      <c r="L163" s="1112"/>
      <c r="M163" s="1112"/>
      <c r="N163" s="1112"/>
      <c r="O163" s="1112"/>
      <c r="P163" s="1112"/>
      <c r="Q163" s="1112"/>
      <c r="R163" s="1112"/>
      <c r="S163" s="1112"/>
      <c r="T163" s="1112"/>
      <c r="U163" s="1112"/>
      <c r="V163" s="1112"/>
      <c r="W163" s="1113"/>
      <c r="X163" s="1113"/>
      <c r="Y163" s="1113"/>
      <c r="Z163" s="1113"/>
      <c r="AA163" s="1113"/>
      <c r="AB163" s="1113"/>
      <c r="AC163" s="1114"/>
      <c r="AD163" s="1114"/>
      <c r="AE163" s="1114"/>
      <c r="AF163" s="1114"/>
      <c r="AG163" s="1114"/>
      <c r="AH163" s="1114"/>
      <c r="AI163" s="1114"/>
      <c r="AJ163" s="1114"/>
      <c r="AK163" s="1114"/>
      <c r="AL163" s="1114"/>
      <c r="AM163" s="1114"/>
      <c r="AN163" s="1114"/>
      <c r="AO163" s="1114"/>
      <c r="AP163" s="1114"/>
      <c r="AQ163" s="1114"/>
      <c r="AR163" s="1114"/>
      <c r="AS163" s="1114"/>
      <c r="AT163" s="1114"/>
      <c r="AU163" s="1114"/>
      <c r="AV163" s="1114"/>
      <c r="AW163" s="1114"/>
      <c r="AX163" s="1114"/>
      <c r="AY163" s="1115"/>
      <c r="AZ163" s="1116"/>
      <c r="BA163" s="1116"/>
      <c r="BB163" s="1116"/>
      <c r="BC163" s="1116"/>
      <c r="BD163" s="1116"/>
      <c r="BE163" s="1116"/>
      <c r="BF163" s="1117"/>
    </row>
    <row r="164" spans="1:58" ht="12" customHeight="1" x14ac:dyDescent="0.2">
      <c r="A164" s="1118"/>
      <c r="B164" s="1119"/>
      <c r="C164" s="1119"/>
      <c r="D164" s="1119"/>
      <c r="E164" s="1119"/>
      <c r="F164" s="1119"/>
      <c r="G164" s="1119"/>
      <c r="H164" s="1119"/>
      <c r="I164" s="1119"/>
      <c r="J164" s="1119"/>
      <c r="K164" s="1119"/>
      <c r="L164" s="1119"/>
      <c r="M164" s="1119"/>
      <c r="N164" s="1119"/>
      <c r="O164" s="1119"/>
      <c r="P164" s="1119"/>
      <c r="Q164" s="1119"/>
      <c r="R164" s="1119"/>
      <c r="S164" s="1119"/>
      <c r="T164" s="1119"/>
      <c r="U164" s="1119"/>
      <c r="V164" s="1119"/>
      <c r="W164" s="1120"/>
      <c r="X164" s="1120"/>
      <c r="Y164" s="1120"/>
      <c r="Z164" s="1120"/>
      <c r="AA164" s="1120"/>
      <c r="AB164" s="1120"/>
      <c r="AC164" s="1121"/>
      <c r="AD164" s="1121"/>
      <c r="AE164" s="1121"/>
      <c r="AF164" s="1121"/>
      <c r="AG164" s="1121"/>
      <c r="AH164" s="1121"/>
      <c r="AI164" s="1121"/>
      <c r="AJ164" s="1121"/>
      <c r="AK164" s="1121"/>
      <c r="AL164" s="1121"/>
      <c r="AM164" s="1121"/>
      <c r="AN164" s="1121"/>
      <c r="AO164" s="1121"/>
      <c r="AP164" s="1121"/>
      <c r="AQ164" s="1121"/>
      <c r="AR164" s="1121"/>
      <c r="AS164" s="1121"/>
      <c r="AT164" s="1121"/>
      <c r="AU164" s="1121"/>
      <c r="AV164" s="1121"/>
      <c r="AW164" s="1121"/>
      <c r="AX164" s="1121"/>
      <c r="AY164" s="1122"/>
      <c r="AZ164" s="1123"/>
      <c r="BA164" s="1123"/>
      <c r="BB164" s="1123"/>
      <c r="BC164" s="1123"/>
      <c r="BD164" s="1123"/>
      <c r="BE164" s="1123"/>
      <c r="BF164" s="1124"/>
    </row>
    <row r="165" spans="1:58" ht="12" customHeight="1" x14ac:dyDescent="0.2">
      <c r="A165" s="1111"/>
      <c r="B165" s="1112"/>
      <c r="C165" s="1112"/>
      <c r="D165" s="1112"/>
      <c r="E165" s="1112"/>
      <c r="F165" s="1112"/>
      <c r="G165" s="1112"/>
      <c r="H165" s="1112"/>
      <c r="I165" s="1112"/>
      <c r="J165" s="1112"/>
      <c r="K165" s="1112"/>
      <c r="L165" s="1112"/>
      <c r="M165" s="1112"/>
      <c r="N165" s="1112"/>
      <c r="O165" s="1112"/>
      <c r="P165" s="1112"/>
      <c r="Q165" s="1112"/>
      <c r="R165" s="1112"/>
      <c r="S165" s="1112"/>
      <c r="T165" s="1112"/>
      <c r="U165" s="1112"/>
      <c r="V165" s="1112"/>
      <c r="W165" s="1113"/>
      <c r="X165" s="1113"/>
      <c r="Y165" s="1113"/>
      <c r="Z165" s="1113"/>
      <c r="AA165" s="1113"/>
      <c r="AB165" s="1113"/>
      <c r="AC165" s="1114"/>
      <c r="AD165" s="1114"/>
      <c r="AE165" s="1114"/>
      <c r="AF165" s="1114"/>
      <c r="AG165" s="1114"/>
      <c r="AH165" s="1114"/>
      <c r="AI165" s="1114"/>
      <c r="AJ165" s="1114"/>
      <c r="AK165" s="1114"/>
      <c r="AL165" s="1114"/>
      <c r="AM165" s="1114"/>
      <c r="AN165" s="1114"/>
      <c r="AO165" s="1114"/>
      <c r="AP165" s="1114"/>
      <c r="AQ165" s="1114"/>
      <c r="AR165" s="1114"/>
      <c r="AS165" s="1114"/>
      <c r="AT165" s="1114"/>
      <c r="AU165" s="1114"/>
      <c r="AV165" s="1114"/>
      <c r="AW165" s="1114"/>
      <c r="AX165" s="1114"/>
      <c r="AY165" s="1115"/>
      <c r="AZ165" s="1116"/>
      <c r="BA165" s="1116"/>
      <c r="BB165" s="1116"/>
      <c r="BC165" s="1116"/>
      <c r="BD165" s="1116"/>
      <c r="BE165" s="1116"/>
      <c r="BF165" s="1117"/>
    </row>
    <row r="166" spans="1:58" ht="12" customHeight="1" x14ac:dyDescent="0.2">
      <c r="A166" s="1118"/>
      <c r="B166" s="1119"/>
      <c r="C166" s="1119"/>
      <c r="D166" s="1119"/>
      <c r="E166" s="1119"/>
      <c r="F166" s="1119"/>
      <c r="G166" s="1119"/>
      <c r="H166" s="1119"/>
      <c r="I166" s="1119"/>
      <c r="J166" s="1119"/>
      <c r="K166" s="1119"/>
      <c r="L166" s="1119"/>
      <c r="M166" s="1119"/>
      <c r="N166" s="1119"/>
      <c r="O166" s="1119"/>
      <c r="P166" s="1119"/>
      <c r="Q166" s="1119"/>
      <c r="R166" s="1119"/>
      <c r="S166" s="1119"/>
      <c r="T166" s="1119"/>
      <c r="U166" s="1119"/>
      <c r="V166" s="1119"/>
      <c r="W166" s="1120"/>
      <c r="X166" s="1120"/>
      <c r="Y166" s="1120"/>
      <c r="Z166" s="1120"/>
      <c r="AA166" s="1120"/>
      <c r="AB166" s="1120"/>
      <c r="AC166" s="1121"/>
      <c r="AD166" s="1121"/>
      <c r="AE166" s="1121"/>
      <c r="AF166" s="1121"/>
      <c r="AG166" s="1121"/>
      <c r="AH166" s="1121"/>
      <c r="AI166" s="1121"/>
      <c r="AJ166" s="1121"/>
      <c r="AK166" s="1121"/>
      <c r="AL166" s="1121"/>
      <c r="AM166" s="1121"/>
      <c r="AN166" s="1121"/>
      <c r="AO166" s="1121"/>
      <c r="AP166" s="1121"/>
      <c r="AQ166" s="1121"/>
      <c r="AR166" s="1121"/>
      <c r="AS166" s="1121"/>
      <c r="AT166" s="1121"/>
      <c r="AU166" s="1121"/>
      <c r="AV166" s="1121"/>
      <c r="AW166" s="1121"/>
      <c r="AX166" s="1121"/>
      <c r="AY166" s="1122"/>
      <c r="AZ166" s="1123"/>
      <c r="BA166" s="1123"/>
      <c r="BB166" s="1123"/>
      <c r="BC166" s="1123"/>
      <c r="BD166" s="1123"/>
      <c r="BE166" s="1123"/>
      <c r="BF166" s="1124"/>
    </row>
    <row r="167" spans="1:58" ht="12" customHeight="1" x14ac:dyDescent="0.2">
      <c r="A167" s="1111"/>
      <c r="B167" s="1112"/>
      <c r="C167" s="1112"/>
      <c r="D167" s="1112"/>
      <c r="E167" s="1112"/>
      <c r="F167" s="1112"/>
      <c r="G167" s="1112"/>
      <c r="H167" s="1112"/>
      <c r="I167" s="1112"/>
      <c r="J167" s="1112"/>
      <c r="K167" s="1112"/>
      <c r="L167" s="1112"/>
      <c r="M167" s="1112"/>
      <c r="N167" s="1112"/>
      <c r="O167" s="1112"/>
      <c r="P167" s="1112"/>
      <c r="Q167" s="1112"/>
      <c r="R167" s="1112"/>
      <c r="S167" s="1112"/>
      <c r="T167" s="1112"/>
      <c r="U167" s="1112"/>
      <c r="V167" s="1112"/>
      <c r="W167" s="1113"/>
      <c r="X167" s="1113"/>
      <c r="Y167" s="1113"/>
      <c r="Z167" s="1113"/>
      <c r="AA167" s="1113"/>
      <c r="AB167" s="1113"/>
      <c r="AC167" s="1114"/>
      <c r="AD167" s="1114"/>
      <c r="AE167" s="1114"/>
      <c r="AF167" s="1114"/>
      <c r="AG167" s="1114"/>
      <c r="AH167" s="1114"/>
      <c r="AI167" s="1114"/>
      <c r="AJ167" s="1114"/>
      <c r="AK167" s="1114"/>
      <c r="AL167" s="1114"/>
      <c r="AM167" s="1114"/>
      <c r="AN167" s="1114"/>
      <c r="AO167" s="1114"/>
      <c r="AP167" s="1114"/>
      <c r="AQ167" s="1114"/>
      <c r="AR167" s="1114"/>
      <c r="AS167" s="1114"/>
      <c r="AT167" s="1114"/>
      <c r="AU167" s="1114"/>
      <c r="AV167" s="1114"/>
      <c r="AW167" s="1114"/>
      <c r="AX167" s="1114"/>
      <c r="AY167" s="1115"/>
      <c r="AZ167" s="1116"/>
      <c r="BA167" s="1116"/>
      <c r="BB167" s="1116"/>
      <c r="BC167" s="1116"/>
      <c r="BD167" s="1116"/>
      <c r="BE167" s="1116"/>
      <c r="BF167" s="1117"/>
    </row>
    <row r="168" spans="1:58" ht="12" customHeight="1" x14ac:dyDescent="0.2">
      <c r="A168" s="1118"/>
      <c r="B168" s="1119"/>
      <c r="C168" s="1119"/>
      <c r="D168" s="1119"/>
      <c r="E168" s="1119"/>
      <c r="F168" s="1119"/>
      <c r="G168" s="1119"/>
      <c r="H168" s="1119"/>
      <c r="I168" s="1119"/>
      <c r="J168" s="1119"/>
      <c r="K168" s="1119"/>
      <c r="L168" s="1119"/>
      <c r="M168" s="1119"/>
      <c r="N168" s="1119"/>
      <c r="O168" s="1119"/>
      <c r="P168" s="1119"/>
      <c r="Q168" s="1119"/>
      <c r="R168" s="1119"/>
      <c r="S168" s="1119"/>
      <c r="T168" s="1119"/>
      <c r="U168" s="1119"/>
      <c r="V168" s="1119"/>
      <c r="W168" s="1120"/>
      <c r="X168" s="1120"/>
      <c r="Y168" s="1120"/>
      <c r="Z168" s="1120"/>
      <c r="AA168" s="1120"/>
      <c r="AB168" s="1120"/>
      <c r="AC168" s="1121"/>
      <c r="AD168" s="1121"/>
      <c r="AE168" s="1121"/>
      <c r="AF168" s="1121"/>
      <c r="AG168" s="1121"/>
      <c r="AH168" s="1121"/>
      <c r="AI168" s="1121"/>
      <c r="AJ168" s="1121"/>
      <c r="AK168" s="1121"/>
      <c r="AL168" s="1121"/>
      <c r="AM168" s="1121"/>
      <c r="AN168" s="1121"/>
      <c r="AO168" s="1121"/>
      <c r="AP168" s="1121"/>
      <c r="AQ168" s="1121"/>
      <c r="AR168" s="1121"/>
      <c r="AS168" s="1121"/>
      <c r="AT168" s="1121"/>
      <c r="AU168" s="1121"/>
      <c r="AV168" s="1121"/>
      <c r="AW168" s="1121"/>
      <c r="AX168" s="1121"/>
      <c r="AY168" s="1122"/>
      <c r="AZ168" s="1123"/>
      <c r="BA168" s="1123"/>
      <c r="BB168" s="1123"/>
      <c r="BC168" s="1123"/>
      <c r="BD168" s="1123"/>
      <c r="BE168" s="1123"/>
      <c r="BF168" s="1124"/>
    </row>
    <row r="169" spans="1:58" ht="12" customHeight="1" x14ac:dyDescent="0.2">
      <c r="A169" s="1111"/>
      <c r="B169" s="1112"/>
      <c r="C169" s="1112"/>
      <c r="D169" s="1112"/>
      <c r="E169" s="1112"/>
      <c r="F169" s="1112"/>
      <c r="G169" s="1112"/>
      <c r="H169" s="1112"/>
      <c r="I169" s="1112"/>
      <c r="J169" s="1112"/>
      <c r="K169" s="1112"/>
      <c r="L169" s="1112"/>
      <c r="M169" s="1112"/>
      <c r="N169" s="1112"/>
      <c r="O169" s="1112"/>
      <c r="P169" s="1112"/>
      <c r="Q169" s="1112"/>
      <c r="R169" s="1112"/>
      <c r="S169" s="1112"/>
      <c r="T169" s="1112"/>
      <c r="U169" s="1112"/>
      <c r="V169" s="1112"/>
      <c r="W169" s="1113"/>
      <c r="X169" s="1113"/>
      <c r="Y169" s="1113"/>
      <c r="Z169" s="1113"/>
      <c r="AA169" s="1113"/>
      <c r="AB169" s="1113"/>
      <c r="AC169" s="1114"/>
      <c r="AD169" s="1114"/>
      <c r="AE169" s="1114"/>
      <c r="AF169" s="1114"/>
      <c r="AG169" s="1114"/>
      <c r="AH169" s="1114"/>
      <c r="AI169" s="1114"/>
      <c r="AJ169" s="1114"/>
      <c r="AK169" s="1114"/>
      <c r="AL169" s="1114"/>
      <c r="AM169" s="1114"/>
      <c r="AN169" s="1114"/>
      <c r="AO169" s="1114"/>
      <c r="AP169" s="1114"/>
      <c r="AQ169" s="1114"/>
      <c r="AR169" s="1114"/>
      <c r="AS169" s="1114"/>
      <c r="AT169" s="1114"/>
      <c r="AU169" s="1114"/>
      <c r="AV169" s="1114"/>
      <c r="AW169" s="1114"/>
      <c r="AX169" s="1114"/>
      <c r="AY169" s="1115"/>
      <c r="AZ169" s="1116"/>
      <c r="BA169" s="1116"/>
      <c r="BB169" s="1116"/>
      <c r="BC169" s="1116"/>
      <c r="BD169" s="1116"/>
      <c r="BE169" s="1116"/>
      <c r="BF169" s="1117"/>
    </row>
    <row r="170" spans="1:58" ht="12" customHeight="1" x14ac:dyDescent="0.2">
      <c r="A170" s="1118"/>
      <c r="B170" s="1119"/>
      <c r="C170" s="1119"/>
      <c r="D170" s="1119"/>
      <c r="E170" s="1119"/>
      <c r="F170" s="1119"/>
      <c r="G170" s="1119"/>
      <c r="H170" s="1119"/>
      <c r="I170" s="1119"/>
      <c r="J170" s="1119"/>
      <c r="K170" s="1119"/>
      <c r="L170" s="1119"/>
      <c r="M170" s="1119"/>
      <c r="N170" s="1119"/>
      <c r="O170" s="1119"/>
      <c r="P170" s="1119"/>
      <c r="Q170" s="1119"/>
      <c r="R170" s="1119"/>
      <c r="S170" s="1119"/>
      <c r="T170" s="1119"/>
      <c r="U170" s="1119"/>
      <c r="V170" s="1119"/>
      <c r="W170" s="1120"/>
      <c r="X170" s="1120"/>
      <c r="Y170" s="1120"/>
      <c r="Z170" s="1120"/>
      <c r="AA170" s="1120"/>
      <c r="AB170" s="1120"/>
      <c r="AC170" s="1121"/>
      <c r="AD170" s="1121"/>
      <c r="AE170" s="1121"/>
      <c r="AF170" s="1121"/>
      <c r="AG170" s="1121"/>
      <c r="AH170" s="1121"/>
      <c r="AI170" s="1121"/>
      <c r="AJ170" s="1121"/>
      <c r="AK170" s="1121"/>
      <c r="AL170" s="1121"/>
      <c r="AM170" s="1121"/>
      <c r="AN170" s="1121"/>
      <c r="AO170" s="1121"/>
      <c r="AP170" s="1121"/>
      <c r="AQ170" s="1121"/>
      <c r="AR170" s="1121"/>
      <c r="AS170" s="1121"/>
      <c r="AT170" s="1121"/>
      <c r="AU170" s="1121"/>
      <c r="AV170" s="1121"/>
      <c r="AW170" s="1121"/>
      <c r="AX170" s="1121"/>
      <c r="AY170" s="1122"/>
      <c r="AZ170" s="1123"/>
      <c r="BA170" s="1123"/>
      <c r="BB170" s="1123"/>
      <c r="BC170" s="1123"/>
      <c r="BD170" s="1123"/>
      <c r="BE170" s="1123"/>
      <c r="BF170" s="1124"/>
    </row>
    <row r="171" spans="1:58" ht="12" customHeight="1" x14ac:dyDescent="0.2">
      <c r="A171" s="1111"/>
      <c r="B171" s="1112"/>
      <c r="C171" s="1112"/>
      <c r="D171" s="1112"/>
      <c r="E171" s="1112"/>
      <c r="F171" s="1112"/>
      <c r="G171" s="1112"/>
      <c r="H171" s="1112"/>
      <c r="I171" s="1112"/>
      <c r="J171" s="1112"/>
      <c r="K171" s="1112"/>
      <c r="L171" s="1112"/>
      <c r="M171" s="1112"/>
      <c r="N171" s="1112"/>
      <c r="O171" s="1112"/>
      <c r="P171" s="1112"/>
      <c r="Q171" s="1112"/>
      <c r="R171" s="1112"/>
      <c r="S171" s="1112"/>
      <c r="T171" s="1112"/>
      <c r="U171" s="1112"/>
      <c r="V171" s="1112"/>
      <c r="W171" s="1113"/>
      <c r="X171" s="1113"/>
      <c r="Y171" s="1113"/>
      <c r="Z171" s="1113"/>
      <c r="AA171" s="1113"/>
      <c r="AB171" s="1113"/>
      <c r="AC171" s="1114"/>
      <c r="AD171" s="1114"/>
      <c r="AE171" s="1114"/>
      <c r="AF171" s="1114"/>
      <c r="AG171" s="1114"/>
      <c r="AH171" s="1114"/>
      <c r="AI171" s="1114"/>
      <c r="AJ171" s="1114"/>
      <c r="AK171" s="1114"/>
      <c r="AL171" s="1114"/>
      <c r="AM171" s="1114"/>
      <c r="AN171" s="1114"/>
      <c r="AO171" s="1114"/>
      <c r="AP171" s="1114"/>
      <c r="AQ171" s="1114"/>
      <c r="AR171" s="1114"/>
      <c r="AS171" s="1114"/>
      <c r="AT171" s="1114"/>
      <c r="AU171" s="1114"/>
      <c r="AV171" s="1114"/>
      <c r="AW171" s="1114"/>
      <c r="AX171" s="1114"/>
      <c r="AY171" s="1115"/>
      <c r="AZ171" s="1116"/>
      <c r="BA171" s="1116"/>
      <c r="BB171" s="1116"/>
      <c r="BC171" s="1116"/>
      <c r="BD171" s="1116"/>
      <c r="BE171" s="1116"/>
      <c r="BF171" s="1117"/>
    </row>
    <row r="172" spans="1:58" ht="12" customHeight="1" x14ac:dyDescent="0.2">
      <c r="A172" s="1118"/>
      <c r="B172" s="1119"/>
      <c r="C172" s="1119"/>
      <c r="D172" s="1119"/>
      <c r="E172" s="1119"/>
      <c r="F172" s="1119"/>
      <c r="G172" s="1119"/>
      <c r="H172" s="1119"/>
      <c r="I172" s="1119"/>
      <c r="J172" s="1119"/>
      <c r="K172" s="1119"/>
      <c r="L172" s="1119"/>
      <c r="M172" s="1119"/>
      <c r="N172" s="1119"/>
      <c r="O172" s="1119"/>
      <c r="P172" s="1119"/>
      <c r="Q172" s="1119"/>
      <c r="R172" s="1119"/>
      <c r="S172" s="1119"/>
      <c r="T172" s="1119"/>
      <c r="U172" s="1119"/>
      <c r="V172" s="1119"/>
      <c r="W172" s="1120"/>
      <c r="X172" s="1120"/>
      <c r="Y172" s="1120"/>
      <c r="Z172" s="1120"/>
      <c r="AA172" s="1120"/>
      <c r="AB172" s="1120"/>
      <c r="AC172" s="1121"/>
      <c r="AD172" s="1121"/>
      <c r="AE172" s="1121"/>
      <c r="AF172" s="1121"/>
      <c r="AG172" s="1121"/>
      <c r="AH172" s="1121"/>
      <c r="AI172" s="1121"/>
      <c r="AJ172" s="1121"/>
      <c r="AK172" s="1121"/>
      <c r="AL172" s="1121"/>
      <c r="AM172" s="1121"/>
      <c r="AN172" s="1121"/>
      <c r="AO172" s="1121"/>
      <c r="AP172" s="1121"/>
      <c r="AQ172" s="1121"/>
      <c r="AR172" s="1121"/>
      <c r="AS172" s="1121"/>
      <c r="AT172" s="1121"/>
      <c r="AU172" s="1121"/>
      <c r="AV172" s="1121"/>
      <c r="AW172" s="1121"/>
      <c r="AX172" s="1121"/>
      <c r="AY172" s="1122"/>
      <c r="AZ172" s="1123"/>
      <c r="BA172" s="1123"/>
      <c r="BB172" s="1123"/>
      <c r="BC172" s="1123"/>
      <c r="BD172" s="1123"/>
      <c r="BE172" s="1123"/>
      <c r="BF172" s="1124"/>
    </row>
    <row r="173" spans="1:58" ht="12" customHeight="1" x14ac:dyDescent="0.2">
      <c r="A173" s="1111"/>
      <c r="B173" s="1112"/>
      <c r="C173" s="1112"/>
      <c r="D173" s="1112"/>
      <c r="E173" s="1112"/>
      <c r="F173" s="1112"/>
      <c r="G173" s="1112"/>
      <c r="H173" s="1112"/>
      <c r="I173" s="1112"/>
      <c r="J173" s="1112"/>
      <c r="K173" s="1112"/>
      <c r="L173" s="1112"/>
      <c r="M173" s="1112"/>
      <c r="N173" s="1112"/>
      <c r="O173" s="1112"/>
      <c r="P173" s="1112"/>
      <c r="Q173" s="1112"/>
      <c r="R173" s="1112"/>
      <c r="S173" s="1112"/>
      <c r="T173" s="1112"/>
      <c r="U173" s="1112"/>
      <c r="V173" s="1112"/>
      <c r="W173" s="1113"/>
      <c r="X173" s="1113"/>
      <c r="Y173" s="1113"/>
      <c r="Z173" s="1113"/>
      <c r="AA173" s="1113"/>
      <c r="AB173" s="1113"/>
      <c r="AC173" s="1114"/>
      <c r="AD173" s="1114"/>
      <c r="AE173" s="1114"/>
      <c r="AF173" s="1114"/>
      <c r="AG173" s="1114"/>
      <c r="AH173" s="1114"/>
      <c r="AI173" s="1114"/>
      <c r="AJ173" s="1114"/>
      <c r="AK173" s="1114"/>
      <c r="AL173" s="1114"/>
      <c r="AM173" s="1114"/>
      <c r="AN173" s="1114"/>
      <c r="AO173" s="1114"/>
      <c r="AP173" s="1114"/>
      <c r="AQ173" s="1114"/>
      <c r="AR173" s="1114"/>
      <c r="AS173" s="1114"/>
      <c r="AT173" s="1114"/>
      <c r="AU173" s="1114"/>
      <c r="AV173" s="1114"/>
      <c r="AW173" s="1114"/>
      <c r="AX173" s="1114"/>
      <c r="AY173" s="1115"/>
      <c r="AZ173" s="1116"/>
      <c r="BA173" s="1116"/>
      <c r="BB173" s="1116"/>
      <c r="BC173" s="1116"/>
      <c r="BD173" s="1116"/>
      <c r="BE173" s="1116"/>
      <c r="BF173" s="1117"/>
    </row>
    <row r="174" spans="1:58" ht="12" customHeight="1" x14ac:dyDescent="0.2">
      <c r="A174" s="1118"/>
      <c r="B174" s="1119"/>
      <c r="C174" s="1119"/>
      <c r="D174" s="1119"/>
      <c r="E174" s="1119"/>
      <c r="F174" s="1119"/>
      <c r="G174" s="1119"/>
      <c r="H174" s="1119"/>
      <c r="I174" s="1119"/>
      <c r="J174" s="1119"/>
      <c r="K174" s="1119"/>
      <c r="L174" s="1119"/>
      <c r="M174" s="1119"/>
      <c r="N174" s="1119"/>
      <c r="O174" s="1119"/>
      <c r="P174" s="1119"/>
      <c r="Q174" s="1119"/>
      <c r="R174" s="1119"/>
      <c r="S174" s="1119"/>
      <c r="T174" s="1119"/>
      <c r="U174" s="1119"/>
      <c r="V174" s="1119"/>
      <c r="W174" s="1120"/>
      <c r="X174" s="1120"/>
      <c r="Y174" s="1120"/>
      <c r="Z174" s="1120"/>
      <c r="AA174" s="1120"/>
      <c r="AB174" s="1120"/>
      <c r="AC174" s="1121"/>
      <c r="AD174" s="1121"/>
      <c r="AE174" s="1121"/>
      <c r="AF174" s="1121"/>
      <c r="AG174" s="1121"/>
      <c r="AH174" s="1121"/>
      <c r="AI174" s="1121"/>
      <c r="AJ174" s="1121"/>
      <c r="AK174" s="1121"/>
      <c r="AL174" s="1121"/>
      <c r="AM174" s="1121"/>
      <c r="AN174" s="1121"/>
      <c r="AO174" s="1121"/>
      <c r="AP174" s="1121"/>
      <c r="AQ174" s="1121"/>
      <c r="AR174" s="1121"/>
      <c r="AS174" s="1121"/>
      <c r="AT174" s="1121"/>
      <c r="AU174" s="1121"/>
      <c r="AV174" s="1121"/>
      <c r="AW174" s="1121"/>
      <c r="AX174" s="1121"/>
      <c r="AY174" s="1122"/>
      <c r="AZ174" s="1123"/>
      <c r="BA174" s="1123"/>
      <c r="BB174" s="1123"/>
      <c r="BC174" s="1123"/>
      <c r="BD174" s="1123"/>
      <c r="BE174" s="1123"/>
      <c r="BF174" s="1124"/>
    </row>
    <row r="175" spans="1:58" ht="12" customHeight="1" x14ac:dyDescent="0.2">
      <c r="A175" s="1111"/>
      <c r="B175" s="1112"/>
      <c r="C175" s="1112"/>
      <c r="D175" s="1112"/>
      <c r="E175" s="1112"/>
      <c r="F175" s="1112"/>
      <c r="G175" s="1112"/>
      <c r="H175" s="1112"/>
      <c r="I175" s="1112"/>
      <c r="J175" s="1112"/>
      <c r="K175" s="1112"/>
      <c r="L175" s="1112"/>
      <c r="M175" s="1112"/>
      <c r="N175" s="1112"/>
      <c r="O175" s="1112"/>
      <c r="P175" s="1112"/>
      <c r="Q175" s="1112"/>
      <c r="R175" s="1112"/>
      <c r="S175" s="1112"/>
      <c r="T175" s="1112"/>
      <c r="U175" s="1112"/>
      <c r="V175" s="1112"/>
      <c r="W175" s="1113"/>
      <c r="X175" s="1113"/>
      <c r="Y175" s="1113"/>
      <c r="Z175" s="1113"/>
      <c r="AA175" s="1113"/>
      <c r="AB175" s="1113"/>
      <c r="AC175" s="1114"/>
      <c r="AD175" s="1114"/>
      <c r="AE175" s="1114"/>
      <c r="AF175" s="1114"/>
      <c r="AG175" s="1114"/>
      <c r="AH175" s="1114"/>
      <c r="AI175" s="1114"/>
      <c r="AJ175" s="1114"/>
      <c r="AK175" s="1114"/>
      <c r="AL175" s="1114"/>
      <c r="AM175" s="1114"/>
      <c r="AN175" s="1114"/>
      <c r="AO175" s="1114"/>
      <c r="AP175" s="1114"/>
      <c r="AQ175" s="1114"/>
      <c r="AR175" s="1114"/>
      <c r="AS175" s="1114"/>
      <c r="AT175" s="1114"/>
      <c r="AU175" s="1114"/>
      <c r="AV175" s="1114"/>
      <c r="AW175" s="1114"/>
      <c r="AX175" s="1114"/>
      <c r="AY175" s="1115"/>
      <c r="AZ175" s="1116"/>
      <c r="BA175" s="1116"/>
      <c r="BB175" s="1116"/>
      <c r="BC175" s="1116"/>
      <c r="BD175" s="1116"/>
      <c r="BE175" s="1116"/>
      <c r="BF175" s="1117"/>
    </row>
    <row r="176" spans="1:58" ht="12" customHeight="1" x14ac:dyDescent="0.2">
      <c r="A176" s="1118"/>
      <c r="B176" s="1119"/>
      <c r="C176" s="1119"/>
      <c r="D176" s="1119"/>
      <c r="E176" s="1119"/>
      <c r="F176" s="1119"/>
      <c r="G176" s="1119"/>
      <c r="H176" s="1119"/>
      <c r="I176" s="1119"/>
      <c r="J176" s="1119"/>
      <c r="K176" s="1119"/>
      <c r="L176" s="1119"/>
      <c r="M176" s="1119"/>
      <c r="N176" s="1119"/>
      <c r="O176" s="1119"/>
      <c r="P176" s="1119"/>
      <c r="Q176" s="1119"/>
      <c r="R176" s="1119"/>
      <c r="S176" s="1119"/>
      <c r="T176" s="1119"/>
      <c r="U176" s="1119"/>
      <c r="V176" s="1119"/>
      <c r="W176" s="1120"/>
      <c r="X176" s="1120"/>
      <c r="Y176" s="1120"/>
      <c r="Z176" s="1120"/>
      <c r="AA176" s="1120"/>
      <c r="AB176" s="1120"/>
      <c r="AC176" s="1121"/>
      <c r="AD176" s="1121"/>
      <c r="AE176" s="1121"/>
      <c r="AF176" s="1121"/>
      <c r="AG176" s="1121"/>
      <c r="AH176" s="1121"/>
      <c r="AI176" s="1121"/>
      <c r="AJ176" s="1121"/>
      <c r="AK176" s="1121"/>
      <c r="AL176" s="1121"/>
      <c r="AM176" s="1121"/>
      <c r="AN176" s="1121"/>
      <c r="AO176" s="1121"/>
      <c r="AP176" s="1121"/>
      <c r="AQ176" s="1121"/>
      <c r="AR176" s="1121"/>
      <c r="AS176" s="1121"/>
      <c r="AT176" s="1121"/>
      <c r="AU176" s="1121"/>
      <c r="AV176" s="1121"/>
      <c r="AW176" s="1121"/>
      <c r="AX176" s="1121"/>
      <c r="AY176" s="1122"/>
      <c r="AZ176" s="1123"/>
      <c r="BA176" s="1123"/>
      <c r="BB176" s="1123"/>
      <c r="BC176" s="1123"/>
      <c r="BD176" s="1123"/>
      <c r="BE176" s="1123"/>
      <c r="BF176" s="1124"/>
    </row>
    <row r="177" spans="1:58" ht="12" customHeight="1" x14ac:dyDescent="0.2">
      <c r="A177" s="1111"/>
      <c r="B177" s="1112"/>
      <c r="C177" s="1112"/>
      <c r="D177" s="1112"/>
      <c r="E177" s="1112"/>
      <c r="F177" s="1112"/>
      <c r="G177" s="1112"/>
      <c r="H177" s="1112"/>
      <c r="I177" s="1112"/>
      <c r="J177" s="1112"/>
      <c r="K177" s="1112"/>
      <c r="L177" s="1112"/>
      <c r="M177" s="1112"/>
      <c r="N177" s="1112"/>
      <c r="O177" s="1112"/>
      <c r="P177" s="1112"/>
      <c r="Q177" s="1112"/>
      <c r="R177" s="1112"/>
      <c r="S177" s="1112"/>
      <c r="T177" s="1112"/>
      <c r="U177" s="1112"/>
      <c r="V177" s="1112"/>
      <c r="W177" s="1113"/>
      <c r="X177" s="1113"/>
      <c r="Y177" s="1113"/>
      <c r="Z177" s="1113"/>
      <c r="AA177" s="1113"/>
      <c r="AB177" s="1113"/>
      <c r="AC177" s="1114"/>
      <c r="AD177" s="1114"/>
      <c r="AE177" s="1114"/>
      <c r="AF177" s="1114"/>
      <c r="AG177" s="1114"/>
      <c r="AH177" s="1114"/>
      <c r="AI177" s="1114"/>
      <c r="AJ177" s="1114"/>
      <c r="AK177" s="1114"/>
      <c r="AL177" s="1114"/>
      <c r="AM177" s="1114"/>
      <c r="AN177" s="1114"/>
      <c r="AO177" s="1114"/>
      <c r="AP177" s="1114"/>
      <c r="AQ177" s="1114"/>
      <c r="AR177" s="1114"/>
      <c r="AS177" s="1114"/>
      <c r="AT177" s="1114"/>
      <c r="AU177" s="1114"/>
      <c r="AV177" s="1114"/>
      <c r="AW177" s="1114"/>
      <c r="AX177" s="1114"/>
      <c r="AY177" s="1115"/>
      <c r="AZ177" s="1116"/>
      <c r="BA177" s="1116"/>
      <c r="BB177" s="1116"/>
      <c r="BC177" s="1116"/>
      <c r="BD177" s="1116"/>
      <c r="BE177" s="1116"/>
      <c r="BF177" s="1117"/>
    </row>
    <row r="178" spans="1:58" ht="12" customHeight="1" x14ac:dyDescent="0.2">
      <c r="A178" s="1118"/>
      <c r="B178" s="1119"/>
      <c r="C178" s="1119"/>
      <c r="D178" s="1119"/>
      <c r="E178" s="1119"/>
      <c r="F178" s="1119"/>
      <c r="G178" s="1119"/>
      <c r="H178" s="1119"/>
      <c r="I178" s="1119"/>
      <c r="J178" s="1119"/>
      <c r="K178" s="1119"/>
      <c r="L178" s="1119"/>
      <c r="M178" s="1119"/>
      <c r="N178" s="1119"/>
      <c r="O178" s="1119"/>
      <c r="P178" s="1119"/>
      <c r="Q178" s="1119"/>
      <c r="R178" s="1119"/>
      <c r="S178" s="1119"/>
      <c r="T178" s="1119"/>
      <c r="U178" s="1119"/>
      <c r="V178" s="1119"/>
      <c r="W178" s="1120"/>
      <c r="X178" s="1120"/>
      <c r="Y178" s="1120"/>
      <c r="Z178" s="1120"/>
      <c r="AA178" s="1120"/>
      <c r="AB178" s="1120"/>
      <c r="AC178" s="1121"/>
      <c r="AD178" s="1121"/>
      <c r="AE178" s="1121"/>
      <c r="AF178" s="1121"/>
      <c r="AG178" s="1121"/>
      <c r="AH178" s="1121"/>
      <c r="AI178" s="1121"/>
      <c r="AJ178" s="1121"/>
      <c r="AK178" s="1121"/>
      <c r="AL178" s="1121"/>
      <c r="AM178" s="1121"/>
      <c r="AN178" s="1121"/>
      <c r="AO178" s="1121"/>
      <c r="AP178" s="1121"/>
      <c r="AQ178" s="1121"/>
      <c r="AR178" s="1121"/>
      <c r="AS178" s="1121"/>
      <c r="AT178" s="1121"/>
      <c r="AU178" s="1121"/>
      <c r="AV178" s="1121"/>
      <c r="AW178" s="1121"/>
      <c r="AX178" s="1121"/>
      <c r="AY178" s="1122"/>
      <c r="AZ178" s="1123"/>
      <c r="BA178" s="1123"/>
      <c r="BB178" s="1123"/>
      <c r="BC178" s="1123"/>
      <c r="BD178" s="1123"/>
      <c r="BE178" s="1123"/>
      <c r="BF178" s="1124"/>
    </row>
    <row r="179" spans="1:58" ht="12" customHeight="1" x14ac:dyDescent="0.2">
      <c r="A179" s="1111"/>
      <c r="B179" s="1112"/>
      <c r="C179" s="1112"/>
      <c r="D179" s="1112"/>
      <c r="E179" s="1112"/>
      <c r="F179" s="1112"/>
      <c r="G179" s="1112"/>
      <c r="H179" s="1112"/>
      <c r="I179" s="1112"/>
      <c r="J179" s="1112"/>
      <c r="K179" s="1112"/>
      <c r="L179" s="1112"/>
      <c r="M179" s="1112"/>
      <c r="N179" s="1112"/>
      <c r="O179" s="1112"/>
      <c r="P179" s="1112"/>
      <c r="Q179" s="1112"/>
      <c r="R179" s="1112"/>
      <c r="S179" s="1112"/>
      <c r="T179" s="1112"/>
      <c r="U179" s="1112"/>
      <c r="V179" s="1112"/>
      <c r="W179" s="1113"/>
      <c r="X179" s="1113"/>
      <c r="Y179" s="1113"/>
      <c r="Z179" s="1113"/>
      <c r="AA179" s="1113"/>
      <c r="AB179" s="1113"/>
      <c r="AC179" s="1114"/>
      <c r="AD179" s="1114"/>
      <c r="AE179" s="1114"/>
      <c r="AF179" s="1114"/>
      <c r="AG179" s="1114"/>
      <c r="AH179" s="1114"/>
      <c r="AI179" s="1114"/>
      <c r="AJ179" s="1114"/>
      <c r="AK179" s="1114"/>
      <c r="AL179" s="1114"/>
      <c r="AM179" s="1114"/>
      <c r="AN179" s="1114"/>
      <c r="AO179" s="1114"/>
      <c r="AP179" s="1114"/>
      <c r="AQ179" s="1114"/>
      <c r="AR179" s="1114"/>
      <c r="AS179" s="1114"/>
      <c r="AT179" s="1114"/>
      <c r="AU179" s="1114"/>
      <c r="AV179" s="1114"/>
      <c r="AW179" s="1114"/>
      <c r="AX179" s="1114"/>
      <c r="AY179" s="1115"/>
      <c r="AZ179" s="1116"/>
      <c r="BA179" s="1116"/>
      <c r="BB179" s="1116"/>
      <c r="BC179" s="1116"/>
      <c r="BD179" s="1116"/>
      <c r="BE179" s="1116"/>
      <c r="BF179" s="1117"/>
    </row>
    <row r="180" spans="1:58" ht="12" customHeight="1" x14ac:dyDescent="0.2">
      <c r="A180" s="1118"/>
      <c r="B180" s="1119"/>
      <c r="C180" s="1119"/>
      <c r="D180" s="1119"/>
      <c r="E180" s="1119"/>
      <c r="F180" s="1119"/>
      <c r="G180" s="1119"/>
      <c r="H180" s="1119"/>
      <c r="I180" s="1119"/>
      <c r="J180" s="1119"/>
      <c r="K180" s="1119"/>
      <c r="L180" s="1119"/>
      <c r="M180" s="1119"/>
      <c r="N180" s="1119"/>
      <c r="O180" s="1119"/>
      <c r="P180" s="1119"/>
      <c r="Q180" s="1119"/>
      <c r="R180" s="1119"/>
      <c r="S180" s="1119"/>
      <c r="T180" s="1119"/>
      <c r="U180" s="1119"/>
      <c r="V180" s="1119"/>
      <c r="W180" s="1120"/>
      <c r="X180" s="1120"/>
      <c r="Y180" s="1120"/>
      <c r="Z180" s="1120"/>
      <c r="AA180" s="1120"/>
      <c r="AB180" s="1120"/>
      <c r="AC180" s="1121"/>
      <c r="AD180" s="1121"/>
      <c r="AE180" s="1121"/>
      <c r="AF180" s="1121"/>
      <c r="AG180" s="1121"/>
      <c r="AH180" s="1121"/>
      <c r="AI180" s="1121"/>
      <c r="AJ180" s="1121"/>
      <c r="AK180" s="1121"/>
      <c r="AL180" s="1121"/>
      <c r="AM180" s="1121"/>
      <c r="AN180" s="1121"/>
      <c r="AO180" s="1121"/>
      <c r="AP180" s="1121"/>
      <c r="AQ180" s="1121"/>
      <c r="AR180" s="1121"/>
      <c r="AS180" s="1121"/>
      <c r="AT180" s="1121"/>
      <c r="AU180" s="1121"/>
      <c r="AV180" s="1121"/>
      <c r="AW180" s="1121"/>
      <c r="AX180" s="1121"/>
      <c r="AY180" s="1122"/>
      <c r="AZ180" s="1123"/>
      <c r="BA180" s="1123"/>
      <c r="BB180" s="1123"/>
      <c r="BC180" s="1123"/>
      <c r="BD180" s="1123"/>
      <c r="BE180" s="1123"/>
      <c r="BF180" s="1124"/>
    </row>
    <row r="181" spans="1:58" ht="12" customHeight="1" x14ac:dyDescent="0.2">
      <c r="A181" s="1111"/>
      <c r="B181" s="1112"/>
      <c r="C181" s="1112"/>
      <c r="D181" s="1112"/>
      <c r="E181" s="1112"/>
      <c r="F181" s="1112"/>
      <c r="G181" s="1112"/>
      <c r="H181" s="1112"/>
      <c r="I181" s="1112"/>
      <c r="J181" s="1112"/>
      <c r="K181" s="1112"/>
      <c r="L181" s="1112"/>
      <c r="M181" s="1112"/>
      <c r="N181" s="1112"/>
      <c r="O181" s="1112"/>
      <c r="P181" s="1112"/>
      <c r="Q181" s="1112"/>
      <c r="R181" s="1112"/>
      <c r="S181" s="1112"/>
      <c r="T181" s="1112"/>
      <c r="U181" s="1112"/>
      <c r="V181" s="1112"/>
      <c r="W181" s="1113"/>
      <c r="X181" s="1113"/>
      <c r="Y181" s="1113"/>
      <c r="Z181" s="1113"/>
      <c r="AA181" s="1113"/>
      <c r="AB181" s="1113"/>
      <c r="AC181" s="1114"/>
      <c r="AD181" s="1114"/>
      <c r="AE181" s="1114"/>
      <c r="AF181" s="1114"/>
      <c r="AG181" s="1114"/>
      <c r="AH181" s="1114"/>
      <c r="AI181" s="1114"/>
      <c r="AJ181" s="1114"/>
      <c r="AK181" s="1114"/>
      <c r="AL181" s="1114"/>
      <c r="AM181" s="1114"/>
      <c r="AN181" s="1114"/>
      <c r="AO181" s="1114"/>
      <c r="AP181" s="1114"/>
      <c r="AQ181" s="1114"/>
      <c r="AR181" s="1114"/>
      <c r="AS181" s="1114"/>
      <c r="AT181" s="1114"/>
      <c r="AU181" s="1114"/>
      <c r="AV181" s="1114"/>
      <c r="AW181" s="1114"/>
      <c r="AX181" s="1114"/>
      <c r="AY181" s="1115"/>
      <c r="AZ181" s="1116"/>
      <c r="BA181" s="1116"/>
      <c r="BB181" s="1116"/>
      <c r="BC181" s="1116"/>
      <c r="BD181" s="1116"/>
      <c r="BE181" s="1116"/>
      <c r="BF181" s="1117"/>
    </row>
    <row r="182" spans="1:58" ht="12" customHeight="1" x14ac:dyDescent="0.2">
      <c r="A182" s="1118"/>
      <c r="B182" s="1119"/>
      <c r="C182" s="1119"/>
      <c r="D182" s="1119"/>
      <c r="E182" s="1119"/>
      <c r="F182" s="1119"/>
      <c r="G182" s="1119"/>
      <c r="H182" s="1119"/>
      <c r="I182" s="1119"/>
      <c r="J182" s="1119"/>
      <c r="K182" s="1119"/>
      <c r="L182" s="1119"/>
      <c r="M182" s="1119"/>
      <c r="N182" s="1119"/>
      <c r="O182" s="1119"/>
      <c r="P182" s="1119"/>
      <c r="Q182" s="1119"/>
      <c r="R182" s="1119"/>
      <c r="S182" s="1119"/>
      <c r="T182" s="1119"/>
      <c r="U182" s="1119"/>
      <c r="V182" s="1119"/>
      <c r="W182" s="1120"/>
      <c r="X182" s="1120"/>
      <c r="Y182" s="1120"/>
      <c r="Z182" s="1120"/>
      <c r="AA182" s="1120"/>
      <c r="AB182" s="1120"/>
      <c r="AC182" s="1121"/>
      <c r="AD182" s="1121"/>
      <c r="AE182" s="1121"/>
      <c r="AF182" s="1121"/>
      <c r="AG182" s="1121"/>
      <c r="AH182" s="1121"/>
      <c r="AI182" s="1121"/>
      <c r="AJ182" s="1121"/>
      <c r="AK182" s="1121"/>
      <c r="AL182" s="1121"/>
      <c r="AM182" s="1121"/>
      <c r="AN182" s="1121"/>
      <c r="AO182" s="1121"/>
      <c r="AP182" s="1121"/>
      <c r="AQ182" s="1121"/>
      <c r="AR182" s="1121"/>
      <c r="AS182" s="1121"/>
      <c r="AT182" s="1121"/>
      <c r="AU182" s="1121"/>
      <c r="AV182" s="1121"/>
      <c r="AW182" s="1121"/>
      <c r="AX182" s="1121"/>
      <c r="AY182" s="1122"/>
      <c r="AZ182" s="1123"/>
      <c r="BA182" s="1123"/>
      <c r="BB182" s="1123"/>
      <c r="BC182" s="1123"/>
      <c r="BD182" s="1123"/>
      <c r="BE182" s="1123"/>
      <c r="BF182" s="1124"/>
    </row>
    <row r="183" spans="1:58" ht="12" customHeight="1" x14ac:dyDescent="0.2">
      <c r="A183" s="1111"/>
      <c r="B183" s="1112"/>
      <c r="C183" s="1112"/>
      <c r="D183" s="1112"/>
      <c r="E183" s="1112"/>
      <c r="F183" s="1112"/>
      <c r="G183" s="1112"/>
      <c r="H183" s="1112"/>
      <c r="I183" s="1112"/>
      <c r="J183" s="1112"/>
      <c r="K183" s="1112"/>
      <c r="L183" s="1112"/>
      <c r="M183" s="1112"/>
      <c r="N183" s="1112"/>
      <c r="O183" s="1112"/>
      <c r="P183" s="1112"/>
      <c r="Q183" s="1112"/>
      <c r="R183" s="1112"/>
      <c r="S183" s="1112"/>
      <c r="T183" s="1112"/>
      <c r="U183" s="1112"/>
      <c r="V183" s="1112"/>
      <c r="W183" s="1113"/>
      <c r="X183" s="1113"/>
      <c r="Y183" s="1113"/>
      <c r="Z183" s="1113"/>
      <c r="AA183" s="1113"/>
      <c r="AB183" s="1113"/>
      <c r="AC183" s="1114"/>
      <c r="AD183" s="1114"/>
      <c r="AE183" s="1114"/>
      <c r="AF183" s="1114"/>
      <c r="AG183" s="1114"/>
      <c r="AH183" s="1114"/>
      <c r="AI183" s="1114"/>
      <c r="AJ183" s="1114"/>
      <c r="AK183" s="1114"/>
      <c r="AL183" s="1114"/>
      <c r="AM183" s="1114"/>
      <c r="AN183" s="1114"/>
      <c r="AO183" s="1114"/>
      <c r="AP183" s="1114"/>
      <c r="AQ183" s="1114"/>
      <c r="AR183" s="1114"/>
      <c r="AS183" s="1114"/>
      <c r="AT183" s="1114"/>
      <c r="AU183" s="1114"/>
      <c r="AV183" s="1114"/>
      <c r="AW183" s="1114"/>
      <c r="AX183" s="1114"/>
      <c r="AY183" s="1115"/>
      <c r="AZ183" s="1116"/>
      <c r="BA183" s="1116"/>
      <c r="BB183" s="1116"/>
      <c r="BC183" s="1116"/>
      <c r="BD183" s="1116"/>
      <c r="BE183" s="1116"/>
      <c r="BF183" s="1117"/>
    </row>
    <row r="184" spans="1:58" ht="12" customHeight="1" x14ac:dyDescent="0.2">
      <c r="A184" s="1118"/>
      <c r="B184" s="1119"/>
      <c r="C184" s="1119"/>
      <c r="D184" s="1119"/>
      <c r="E184" s="1119"/>
      <c r="F184" s="1119"/>
      <c r="G184" s="1119"/>
      <c r="H184" s="1119"/>
      <c r="I184" s="1119"/>
      <c r="J184" s="1119"/>
      <c r="K184" s="1119"/>
      <c r="L184" s="1119"/>
      <c r="M184" s="1119"/>
      <c r="N184" s="1119"/>
      <c r="O184" s="1119"/>
      <c r="P184" s="1119"/>
      <c r="Q184" s="1119"/>
      <c r="R184" s="1119"/>
      <c r="S184" s="1119"/>
      <c r="T184" s="1119"/>
      <c r="U184" s="1119"/>
      <c r="V184" s="1119"/>
      <c r="W184" s="1120"/>
      <c r="X184" s="1120"/>
      <c r="Y184" s="1120"/>
      <c r="Z184" s="1120"/>
      <c r="AA184" s="1120"/>
      <c r="AB184" s="1120"/>
      <c r="AC184" s="1121"/>
      <c r="AD184" s="1121"/>
      <c r="AE184" s="1121"/>
      <c r="AF184" s="1121"/>
      <c r="AG184" s="1121"/>
      <c r="AH184" s="1121"/>
      <c r="AI184" s="1121"/>
      <c r="AJ184" s="1121"/>
      <c r="AK184" s="1121"/>
      <c r="AL184" s="1121"/>
      <c r="AM184" s="1121"/>
      <c r="AN184" s="1121"/>
      <c r="AO184" s="1121"/>
      <c r="AP184" s="1121"/>
      <c r="AQ184" s="1121"/>
      <c r="AR184" s="1121"/>
      <c r="AS184" s="1121"/>
      <c r="AT184" s="1121"/>
      <c r="AU184" s="1121"/>
      <c r="AV184" s="1121"/>
      <c r="AW184" s="1121"/>
      <c r="AX184" s="1121"/>
      <c r="AY184" s="1122"/>
      <c r="AZ184" s="1123"/>
      <c r="BA184" s="1123"/>
      <c r="BB184" s="1123"/>
      <c r="BC184" s="1123"/>
      <c r="BD184" s="1123"/>
      <c r="BE184" s="1123"/>
      <c r="BF184" s="1124"/>
    </row>
    <row r="185" spans="1:58" ht="12" customHeight="1" x14ac:dyDescent="0.2">
      <c r="A185" s="1111"/>
      <c r="B185" s="1112"/>
      <c r="C185" s="1112"/>
      <c r="D185" s="1112"/>
      <c r="E185" s="1112"/>
      <c r="F185" s="1112"/>
      <c r="G185" s="1112"/>
      <c r="H185" s="1112"/>
      <c r="I185" s="1112"/>
      <c r="J185" s="1112"/>
      <c r="K185" s="1112"/>
      <c r="L185" s="1112"/>
      <c r="M185" s="1112"/>
      <c r="N185" s="1112"/>
      <c r="O185" s="1112"/>
      <c r="P185" s="1112"/>
      <c r="Q185" s="1112"/>
      <c r="R185" s="1112"/>
      <c r="S185" s="1112"/>
      <c r="T185" s="1112"/>
      <c r="U185" s="1112"/>
      <c r="V185" s="1112"/>
      <c r="W185" s="1113"/>
      <c r="X185" s="1113"/>
      <c r="Y185" s="1113"/>
      <c r="Z185" s="1113"/>
      <c r="AA185" s="1113"/>
      <c r="AB185" s="1113"/>
      <c r="AC185" s="1114"/>
      <c r="AD185" s="1114"/>
      <c r="AE185" s="1114"/>
      <c r="AF185" s="1114"/>
      <c r="AG185" s="1114"/>
      <c r="AH185" s="1114"/>
      <c r="AI185" s="1114"/>
      <c r="AJ185" s="1114"/>
      <c r="AK185" s="1114"/>
      <c r="AL185" s="1114"/>
      <c r="AM185" s="1114"/>
      <c r="AN185" s="1114"/>
      <c r="AO185" s="1114"/>
      <c r="AP185" s="1114"/>
      <c r="AQ185" s="1114"/>
      <c r="AR185" s="1114"/>
      <c r="AS185" s="1114"/>
      <c r="AT185" s="1114"/>
      <c r="AU185" s="1114"/>
      <c r="AV185" s="1114"/>
      <c r="AW185" s="1114"/>
      <c r="AX185" s="1114"/>
      <c r="AY185" s="1115"/>
      <c r="AZ185" s="1116"/>
      <c r="BA185" s="1116"/>
      <c r="BB185" s="1116"/>
      <c r="BC185" s="1116"/>
      <c r="BD185" s="1116"/>
      <c r="BE185" s="1116"/>
      <c r="BF185" s="1117"/>
    </row>
    <row r="186" spans="1:58" ht="12" customHeight="1" x14ac:dyDescent="0.2">
      <c r="A186" s="1118"/>
      <c r="B186" s="1119"/>
      <c r="C186" s="1119"/>
      <c r="D186" s="1119"/>
      <c r="E186" s="1119"/>
      <c r="F186" s="1119"/>
      <c r="G186" s="1119"/>
      <c r="H186" s="1119"/>
      <c r="I186" s="1119"/>
      <c r="J186" s="1119"/>
      <c r="K186" s="1119"/>
      <c r="L186" s="1119"/>
      <c r="M186" s="1119"/>
      <c r="N186" s="1119"/>
      <c r="O186" s="1119"/>
      <c r="P186" s="1119"/>
      <c r="Q186" s="1119"/>
      <c r="R186" s="1119"/>
      <c r="S186" s="1119"/>
      <c r="T186" s="1119"/>
      <c r="U186" s="1119"/>
      <c r="V186" s="1119"/>
      <c r="W186" s="1120"/>
      <c r="X186" s="1120"/>
      <c r="Y186" s="1120"/>
      <c r="Z186" s="1120"/>
      <c r="AA186" s="1120"/>
      <c r="AB186" s="1120"/>
      <c r="AC186" s="1121"/>
      <c r="AD186" s="1121"/>
      <c r="AE186" s="1121"/>
      <c r="AF186" s="1121"/>
      <c r="AG186" s="1121"/>
      <c r="AH186" s="1121"/>
      <c r="AI186" s="1121"/>
      <c r="AJ186" s="1121"/>
      <c r="AK186" s="1121"/>
      <c r="AL186" s="1121"/>
      <c r="AM186" s="1121"/>
      <c r="AN186" s="1121"/>
      <c r="AO186" s="1121"/>
      <c r="AP186" s="1121"/>
      <c r="AQ186" s="1121"/>
      <c r="AR186" s="1121"/>
      <c r="AS186" s="1121"/>
      <c r="AT186" s="1121"/>
      <c r="AU186" s="1121"/>
      <c r="AV186" s="1121"/>
      <c r="AW186" s="1121"/>
      <c r="AX186" s="1121"/>
      <c r="AY186" s="1122"/>
      <c r="AZ186" s="1123"/>
      <c r="BA186" s="1123"/>
      <c r="BB186" s="1123"/>
      <c r="BC186" s="1123"/>
      <c r="BD186" s="1123"/>
      <c r="BE186" s="1123"/>
      <c r="BF186" s="1124"/>
    </row>
    <row r="187" spans="1:58" ht="12" customHeight="1" x14ac:dyDescent="0.2">
      <c r="A187" s="1111"/>
      <c r="B187" s="1112"/>
      <c r="C187" s="1112"/>
      <c r="D187" s="1112"/>
      <c r="E187" s="1112"/>
      <c r="F187" s="1112"/>
      <c r="G187" s="1112"/>
      <c r="H187" s="1112"/>
      <c r="I187" s="1112"/>
      <c r="J187" s="1112"/>
      <c r="K187" s="1112"/>
      <c r="L187" s="1112"/>
      <c r="M187" s="1112"/>
      <c r="N187" s="1112"/>
      <c r="O187" s="1112"/>
      <c r="P187" s="1112"/>
      <c r="Q187" s="1112"/>
      <c r="R187" s="1112"/>
      <c r="S187" s="1112"/>
      <c r="T187" s="1112"/>
      <c r="U187" s="1112"/>
      <c r="V187" s="1112"/>
      <c r="W187" s="1113"/>
      <c r="X187" s="1113"/>
      <c r="Y187" s="1113"/>
      <c r="Z187" s="1113"/>
      <c r="AA187" s="1113"/>
      <c r="AB187" s="1113"/>
      <c r="AC187" s="1114"/>
      <c r="AD187" s="1114"/>
      <c r="AE187" s="1114"/>
      <c r="AF187" s="1114"/>
      <c r="AG187" s="1114"/>
      <c r="AH187" s="1114"/>
      <c r="AI187" s="1114"/>
      <c r="AJ187" s="1114"/>
      <c r="AK187" s="1114"/>
      <c r="AL187" s="1114"/>
      <c r="AM187" s="1114"/>
      <c r="AN187" s="1114"/>
      <c r="AO187" s="1114"/>
      <c r="AP187" s="1114"/>
      <c r="AQ187" s="1114"/>
      <c r="AR187" s="1114"/>
      <c r="AS187" s="1114"/>
      <c r="AT187" s="1114"/>
      <c r="AU187" s="1114"/>
      <c r="AV187" s="1114"/>
      <c r="AW187" s="1114"/>
      <c r="AX187" s="1114"/>
      <c r="AY187" s="1115"/>
      <c r="AZ187" s="1116"/>
      <c r="BA187" s="1116"/>
      <c r="BB187" s="1116"/>
      <c r="BC187" s="1116"/>
      <c r="BD187" s="1116"/>
      <c r="BE187" s="1116"/>
      <c r="BF187" s="1117"/>
    </row>
    <row r="188" spans="1:58" ht="12" customHeight="1" x14ac:dyDescent="0.2">
      <c r="A188" s="1118"/>
      <c r="B188" s="1119"/>
      <c r="C188" s="1119"/>
      <c r="D188" s="1119"/>
      <c r="E188" s="1119"/>
      <c r="F188" s="1119"/>
      <c r="G188" s="1119"/>
      <c r="H188" s="1119"/>
      <c r="I188" s="1119"/>
      <c r="J188" s="1119"/>
      <c r="K188" s="1119"/>
      <c r="L188" s="1119"/>
      <c r="M188" s="1119"/>
      <c r="N188" s="1119"/>
      <c r="O188" s="1119"/>
      <c r="P188" s="1119"/>
      <c r="Q188" s="1119"/>
      <c r="R188" s="1119"/>
      <c r="S188" s="1119"/>
      <c r="T188" s="1119"/>
      <c r="U188" s="1119"/>
      <c r="V188" s="1119"/>
      <c r="W188" s="1120"/>
      <c r="X188" s="1120"/>
      <c r="Y188" s="1120"/>
      <c r="Z188" s="1120"/>
      <c r="AA188" s="1120"/>
      <c r="AB188" s="1120"/>
      <c r="AC188" s="1121"/>
      <c r="AD188" s="1121"/>
      <c r="AE188" s="1121"/>
      <c r="AF188" s="1121"/>
      <c r="AG188" s="1121"/>
      <c r="AH188" s="1121"/>
      <c r="AI188" s="1121"/>
      <c r="AJ188" s="1121"/>
      <c r="AK188" s="1121"/>
      <c r="AL188" s="1121"/>
      <c r="AM188" s="1121"/>
      <c r="AN188" s="1121"/>
      <c r="AO188" s="1121"/>
      <c r="AP188" s="1121"/>
      <c r="AQ188" s="1121"/>
      <c r="AR188" s="1121"/>
      <c r="AS188" s="1121"/>
      <c r="AT188" s="1121"/>
      <c r="AU188" s="1121"/>
      <c r="AV188" s="1121"/>
      <c r="AW188" s="1121"/>
      <c r="AX188" s="1121"/>
      <c r="AY188" s="1122"/>
      <c r="AZ188" s="1123"/>
      <c r="BA188" s="1123"/>
      <c r="BB188" s="1123"/>
      <c r="BC188" s="1123"/>
      <c r="BD188" s="1123"/>
      <c r="BE188" s="1123"/>
      <c r="BF188" s="1124"/>
    </row>
    <row r="189" spans="1:58" ht="12" customHeight="1" x14ac:dyDescent="0.2">
      <c r="A189" s="1111"/>
      <c r="B189" s="1112"/>
      <c r="C189" s="1112"/>
      <c r="D189" s="1112"/>
      <c r="E189" s="1112"/>
      <c r="F189" s="1112"/>
      <c r="G189" s="1112"/>
      <c r="H189" s="1112"/>
      <c r="I189" s="1112"/>
      <c r="J189" s="1112"/>
      <c r="K189" s="1112"/>
      <c r="L189" s="1112"/>
      <c r="M189" s="1112"/>
      <c r="N189" s="1112"/>
      <c r="O189" s="1112"/>
      <c r="P189" s="1112"/>
      <c r="Q189" s="1112"/>
      <c r="R189" s="1112"/>
      <c r="S189" s="1112"/>
      <c r="T189" s="1112"/>
      <c r="U189" s="1112"/>
      <c r="V189" s="1112"/>
      <c r="W189" s="1113"/>
      <c r="X189" s="1113"/>
      <c r="Y189" s="1113"/>
      <c r="Z189" s="1113"/>
      <c r="AA189" s="1113"/>
      <c r="AB189" s="1113"/>
      <c r="AC189" s="1114"/>
      <c r="AD189" s="1114"/>
      <c r="AE189" s="1114"/>
      <c r="AF189" s="1114"/>
      <c r="AG189" s="1114"/>
      <c r="AH189" s="1114"/>
      <c r="AI189" s="1114"/>
      <c r="AJ189" s="1114"/>
      <c r="AK189" s="1114"/>
      <c r="AL189" s="1114"/>
      <c r="AM189" s="1114"/>
      <c r="AN189" s="1114"/>
      <c r="AO189" s="1114"/>
      <c r="AP189" s="1114"/>
      <c r="AQ189" s="1114"/>
      <c r="AR189" s="1114"/>
      <c r="AS189" s="1114"/>
      <c r="AT189" s="1114"/>
      <c r="AU189" s="1114"/>
      <c r="AV189" s="1114"/>
      <c r="AW189" s="1114"/>
      <c r="AX189" s="1114"/>
      <c r="AY189" s="1115"/>
      <c r="AZ189" s="1116"/>
      <c r="BA189" s="1116"/>
      <c r="BB189" s="1116"/>
      <c r="BC189" s="1116"/>
      <c r="BD189" s="1116"/>
      <c r="BE189" s="1116"/>
      <c r="BF189" s="1117"/>
    </row>
    <row r="190" spans="1:58" ht="12" customHeight="1" x14ac:dyDescent="0.2">
      <c r="A190" s="1118"/>
      <c r="B190" s="1119"/>
      <c r="C190" s="1119"/>
      <c r="D190" s="1119"/>
      <c r="E190" s="1119"/>
      <c r="F190" s="1119"/>
      <c r="G190" s="1119"/>
      <c r="H190" s="1119"/>
      <c r="I190" s="1119"/>
      <c r="J190" s="1119"/>
      <c r="K190" s="1119"/>
      <c r="L190" s="1119"/>
      <c r="M190" s="1119"/>
      <c r="N190" s="1119"/>
      <c r="O190" s="1119"/>
      <c r="P190" s="1119"/>
      <c r="Q190" s="1119"/>
      <c r="R190" s="1119"/>
      <c r="S190" s="1119"/>
      <c r="T190" s="1119"/>
      <c r="U190" s="1119"/>
      <c r="V190" s="1119"/>
      <c r="W190" s="1120"/>
      <c r="X190" s="1120"/>
      <c r="Y190" s="1120"/>
      <c r="Z190" s="1120"/>
      <c r="AA190" s="1120"/>
      <c r="AB190" s="1120"/>
      <c r="AC190" s="1121"/>
      <c r="AD190" s="1121"/>
      <c r="AE190" s="1121"/>
      <c r="AF190" s="1121"/>
      <c r="AG190" s="1121"/>
      <c r="AH190" s="1121"/>
      <c r="AI190" s="1121"/>
      <c r="AJ190" s="1121"/>
      <c r="AK190" s="1121"/>
      <c r="AL190" s="1121"/>
      <c r="AM190" s="1121"/>
      <c r="AN190" s="1121"/>
      <c r="AO190" s="1121"/>
      <c r="AP190" s="1121"/>
      <c r="AQ190" s="1121"/>
      <c r="AR190" s="1121"/>
      <c r="AS190" s="1121"/>
      <c r="AT190" s="1121"/>
      <c r="AU190" s="1121"/>
      <c r="AV190" s="1121"/>
      <c r="AW190" s="1121"/>
      <c r="AX190" s="1121"/>
      <c r="AY190" s="1122"/>
      <c r="AZ190" s="1123"/>
      <c r="BA190" s="1123"/>
      <c r="BB190" s="1123"/>
      <c r="BC190" s="1123"/>
      <c r="BD190" s="1123"/>
      <c r="BE190" s="1123"/>
      <c r="BF190" s="1124"/>
    </row>
    <row r="191" spans="1:58" ht="12" customHeight="1" x14ac:dyDescent="0.2">
      <c r="A191" s="1111"/>
      <c r="B191" s="1112"/>
      <c r="C191" s="1112"/>
      <c r="D191" s="1112"/>
      <c r="E191" s="1112"/>
      <c r="F191" s="1112"/>
      <c r="G191" s="1112"/>
      <c r="H191" s="1112"/>
      <c r="I191" s="1112"/>
      <c r="J191" s="1112"/>
      <c r="K191" s="1112"/>
      <c r="L191" s="1112"/>
      <c r="M191" s="1112"/>
      <c r="N191" s="1112"/>
      <c r="O191" s="1112"/>
      <c r="P191" s="1112"/>
      <c r="Q191" s="1112"/>
      <c r="R191" s="1112"/>
      <c r="S191" s="1112"/>
      <c r="T191" s="1112"/>
      <c r="U191" s="1112"/>
      <c r="V191" s="1112"/>
      <c r="W191" s="1113"/>
      <c r="X191" s="1113"/>
      <c r="Y191" s="1113"/>
      <c r="Z191" s="1113"/>
      <c r="AA191" s="1113"/>
      <c r="AB191" s="1113"/>
      <c r="AC191" s="1114"/>
      <c r="AD191" s="1114"/>
      <c r="AE191" s="1114"/>
      <c r="AF191" s="1114"/>
      <c r="AG191" s="1114"/>
      <c r="AH191" s="1114"/>
      <c r="AI191" s="1114"/>
      <c r="AJ191" s="1114"/>
      <c r="AK191" s="1114"/>
      <c r="AL191" s="1114"/>
      <c r="AM191" s="1114"/>
      <c r="AN191" s="1114"/>
      <c r="AO191" s="1114"/>
      <c r="AP191" s="1114"/>
      <c r="AQ191" s="1114"/>
      <c r="AR191" s="1114"/>
      <c r="AS191" s="1114"/>
      <c r="AT191" s="1114"/>
      <c r="AU191" s="1114"/>
      <c r="AV191" s="1114"/>
      <c r="AW191" s="1114"/>
      <c r="AX191" s="1114"/>
      <c r="AY191" s="1115"/>
      <c r="AZ191" s="1116"/>
      <c r="BA191" s="1116"/>
      <c r="BB191" s="1116"/>
      <c r="BC191" s="1116"/>
      <c r="BD191" s="1116"/>
      <c r="BE191" s="1116"/>
      <c r="BF191" s="1117"/>
    </row>
    <row r="192" spans="1:58" ht="12" customHeight="1" x14ac:dyDescent="0.2">
      <c r="A192" s="1118"/>
      <c r="B192" s="1119"/>
      <c r="C192" s="1119"/>
      <c r="D192" s="1119"/>
      <c r="E192" s="1119"/>
      <c r="F192" s="1119"/>
      <c r="G192" s="1119"/>
      <c r="H192" s="1119"/>
      <c r="I192" s="1119"/>
      <c r="J192" s="1119"/>
      <c r="K192" s="1119"/>
      <c r="L192" s="1119"/>
      <c r="M192" s="1119"/>
      <c r="N192" s="1119"/>
      <c r="O192" s="1119"/>
      <c r="P192" s="1119"/>
      <c r="Q192" s="1119"/>
      <c r="R192" s="1119"/>
      <c r="S192" s="1119"/>
      <c r="T192" s="1119"/>
      <c r="U192" s="1119"/>
      <c r="V192" s="1119"/>
      <c r="W192" s="1120"/>
      <c r="X192" s="1120"/>
      <c r="Y192" s="1120"/>
      <c r="Z192" s="1120"/>
      <c r="AA192" s="1120"/>
      <c r="AB192" s="1120"/>
      <c r="AC192" s="1121"/>
      <c r="AD192" s="1121"/>
      <c r="AE192" s="1121"/>
      <c r="AF192" s="1121"/>
      <c r="AG192" s="1121"/>
      <c r="AH192" s="1121"/>
      <c r="AI192" s="1121"/>
      <c r="AJ192" s="1121"/>
      <c r="AK192" s="1121"/>
      <c r="AL192" s="1121"/>
      <c r="AM192" s="1121"/>
      <c r="AN192" s="1121"/>
      <c r="AO192" s="1121"/>
      <c r="AP192" s="1121"/>
      <c r="AQ192" s="1121"/>
      <c r="AR192" s="1121"/>
      <c r="AS192" s="1121"/>
      <c r="AT192" s="1121"/>
      <c r="AU192" s="1121"/>
      <c r="AV192" s="1121"/>
      <c r="AW192" s="1121"/>
      <c r="AX192" s="1121"/>
      <c r="AY192" s="1122"/>
      <c r="AZ192" s="1123"/>
      <c r="BA192" s="1123"/>
      <c r="BB192" s="1123"/>
      <c r="BC192" s="1123"/>
      <c r="BD192" s="1123"/>
      <c r="BE192" s="1123"/>
      <c r="BF192" s="1124"/>
    </row>
    <row r="193" spans="1:58" ht="12" customHeight="1" x14ac:dyDescent="0.2">
      <c r="A193" s="1111"/>
      <c r="B193" s="1112"/>
      <c r="C193" s="1112"/>
      <c r="D193" s="1112"/>
      <c r="E193" s="1112"/>
      <c r="F193" s="1112"/>
      <c r="G193" s="1112"/>
      <c r="H193" s="1112"/>
      <c r="I193" s="1112"/>
      <c r="J193" s="1112"/>
      <c r="K193" s="1112"/>
      <c r="L193" s="1112"/>
      <c r="M193" s="1112"/>
      <c r="N193" s="1112"/>
      <c r="O193" s="1112"/>
      <c r="P193" s="1112"/>
      <c r="Q193" s="1112"/>
      <c r="R193" s="1112"/>
      <c r="S193" s="1112"/>
      <c r="T193" s="1112"/>
      <c r="U193" s="1112"/>
      <c r="V193" s="1112"/>
      <c r="W193" s="1113"/>
      <c r="X193" s="1113"/>
      <c r="Y193" s="1113"/>
      <c r="Z193" s="1113"/>
      <c r="AA193" s="1113"/>
      <c r="AB193" s="1113"/>
      <c r="AC193" s="1114"/>
      <c r="AD193" s="1114"/>
      <c r="AE193" s="1114"/>
      <c r="AF193" s="1114"/>
      <c r="AG193" s="1114"/>
      <c r="AH193" s="1114"/>
      <c r="AI193" s="1114"/>
      <c r="AJ193" s="1114"/>
      <c r="AK193" s="1114"/>
      <c r="AL193" s="1114"/>
      <c r="AM193" s="1114"/>
      <c r="AN193" s="1114"/>
      <c r="AO193" s="1114"/>
      <c r="AP193" s="1114"/>
      <c r="AQ193" s="1114"/>
      <c r="AR193" s="1114"/>
      <c r="AS193" s="1114"/>
      <c r="AT193" s="1114"/>
      <c r="AU193" s="1114"/>
      <c r="AV193" s="1114"/>
      <c r="AW193" s="1114"/>
      <c r="AX193" s="1114"/>
      <c r="AY193" s="1115"/>
      <c r="AZ193" s="1116"/>
      <c r="BA193" s="1116"/>
      <c r="BB193" s="1116"/>
      <c r="BC193" s="1116"/>
      <c r="BD193" s="1116"/>
      <c r="BE193" s="1116"/>
      <c r="BF193" s="1117"/>
    </row>
    <row r="194" spans="1:58" ht="12" customHeight="1" x14ac:dyDescent="0.2">
      <c r="A194" s="1118"/>
      <c r="B194" s="1119"/>
      <c r="C194" s="1119"/>
      <c r="D194" s="1119"/>
      <c r="E194" s="1119"/>
      <c r="F194" s="1119"/>
      <c r="G194" s="1119"/>
      <c r="H194" s="1119"/>
      <c r="I194" s="1119"/>
      <c r="J194" s="1119"/>
      <c r="K194" s="1119"/>
      <c r="L194" s="1119"/>
      <c r="M194" s="1119"/>
      <c r="N194" s="1119"/>
      <c r="O194" s="1119"/>
      <c r="P194" s="1119"/>
      <c r="Q194" s="1119"/>
      <c r="R194" s="1119"/>
      <c r="S194" s="1119"/>
      <c r="T194" s="1119"/>
      <c r="U194" s="1119"/>
      <c r="V194" s="1119"/>
      <c r="W194" s="1120"/>
      <c r="X194" s="1120"/>
      <c r="Y194" s="1120"/>
      <c r="Z194" s="1120"/>
      <c r="AA194" s="1120"/>
      <c r="AB194" s="1120"/>
      <c r="AC194" s="1121"/>
      <c r="AD194" s="1121"/>
      <c r="AE194" s="1121"/>
      <c r="AF194" s="1121"/>
      <c r="AG194" s="1121"/>
      <c r="AH194" s="1121"/>
      <c r="AI194" s="1121"/>
      <c r="AJ194" s="1121"/>
      <c r="AK194" s="1121"/>
      <c r="AL194" s="1121"/>
      <c r="AM194" s="1121"/>
      <c r="AN194" s="1121"/>
      <c r="AO194" s="1121"/>
      <c r="AP194" s="1121"/>
      <c r="AQ194" s="1121"/>
      <c r="AR194" s="1121"/>
      <c r="AS194" s="1121"/>
      <c r="AT194" s="1121"/>
      <c r="AU194" s="1121"/>
      <c r="AV194" s="1121"/>
      <c r="AW194" s="1121"/>
      <c r="AX194" s="1121"/>
      <c r="AY194" s="1122"/>
      <c r="AZ194" s="1123"/>
      <c r="BA194" s="1123"/>
      <c r="BB194" s="1123"/>
      <c r="BC194" s="1123"/>
      <c r="BD194" s="1123"/>
      <c r="BE194" s="1123"/>
      <c r="BF194" s="1124"/>
    </row>
    <row r="195" spans="1:58" ht="12" customHeight="1" thickBot="1" x14ac:dyDescent="0.25">
      <c r="A195" s="1125"/>
      <c r="B195" s="1126"/>
      <c r="C195" s="1126"/>
      <c r="D195" s="1126"/>
      <c r="E195" s="1126"/>
      <c r="F195" s="1126"/>
      <c r="G195" s="1126"/>
      <c r="H195" s="1126"/>
      <c r="I195" s="1126"/>
      <c r="J195" s="1126"/>
      <c r="K195" s="1126"/>
      <c r="L195" s="1126"/>
      <c r="M195" s="1126"/>
      <c r="N195" s="1126"/>
      <c r="O195" s="1126"/>
      <c r="P195" s="1126"/>
      <c r="Q195" s="1126"/>
      <c r="R195" s="1126"/>
      <c r="S195" s="1126"/>
      <c r="T195" s="1126"/>
      <c r="U195" s="1126"/>
      <c r="V195" s="1126"/>
      <c r="W195" s="1127"/>
      <c r="X195" s="1127"/>
      <c r="Y195" s="1127"/>
      <c r="Z195" s="1127"/>
      <c r="AA195" s="1127"/>
      <c r="AB195" s="1127"/>
      <c r="AC195" s="1128"/>
      <c r="AD195" s="1128"/>
      <c r="AE195" s="1128"/>
      <c r="AF195" s="1128"/>
      <c r="AG195" s="1128"/>
      <c r="AH195" s="1128"/>
      <c r="AI195" s="1128"/>
      <c r="AJ195" s="1128"/>
      <c r="AK195" s="1128"/>
      <c r="AL195" s="1128"/>
      <c r="AM195" s="1128"/>
      <c r="AN195" s="1128"/>
      <c r="AO195" s="1128"/>
      <c r="AP195" s="1128"/>
      <c r="AQ195" s="1128"/>
      <c r="AR195" s="1128"/>
      <c r="AS195" s="1128"/>
      <c r="AT195" s="1128"/>
      <c r="AU195" s="1128"/>
      <c r="AV195" s="1128"/>
      <c r="AW195" s="1128"/>
      <c r="AX195" s="1128"/>
      <c r="AY195" s="1129"/>
      <c r="AZ195" s="1130"/>
      <c r="BA195" s="1130"/>
      <c r="BB195" s="1130"/>
      <c r="BC195" s="1130"/>
      <c r="BD195" s="1130"/>
      <c r="BE195" s="1130"/>
      <c r="BF195" s="1131"/>
    </row>
    <row r="196" spans="1:58" ht="12" customHeight="1" thickTop="1" x14ac:dyDescent="0.2"/>
  </sheetData>
  <sheetProtection password="E882" sheet="1" objects="1" scenarios="1" selectLockedCells="1"/>
  <mergeCells count="1552">
    <mergeCell ref="AP137:AS137"/>
    <mergeCell ref="AT137:AX137"/>
    <mergeCell ref="AY137:BF137"/>
    <mergeCell ref="A137:V137"/>
    <mergeCell ref="W137:AB137"/>
    <mergeCell ref="AC137:AF137"/>
    <mergeCell ref="AG137:AJ137"/>
    <mergeCell ref="AK137:AO137"/>
    <mergeCell ref="AP135:AS135"/>
    <mergeCell ref="AT135:AX135"/>
    <mergeCell ref="AY135:BF135"/>
    <mergeCell ref="A136:V136"/>
    <mergeCell ref="W136:AB136"/>
    <mergeCell ref="AC136:AF136"/>
    <mergeCell ref="AG136:AJ136"/>
    <mergeCell ref="AK136:AO136"/>
    <mergeCell ref="AP136:AS136"/>
    <mergeCell ref="AT136:AX136"/>
    <mergeCell ref="AY136:BF136"/>
    <mergeCell ref="A135:V135"/>
    <mergeCell ref="W135:AB135"/>
    <mergeCell ref="AC135:AF135"/>
    <mergeCell ref="AG135:AJ135"/>
    <mergeCell ref="AK135:AO135"/>
    <mergeCell ref="AP133:AS133"/>
    <mergeCell ref="AT133:AX133"/>
    <mergeCell ref="AY133:BF133"/>
    <mergeCell ref="A134:V134"/>
    <mergeCell ref="W134:AB134"/>
    <mergeCell ref="AC134:AF134"/>
    <mergeCell ref="AG134:AJ134"/>
    <mergeCell ref="AK134:AO134"/>
    <mergeCell ref="AP134:AS134"/>
    <mergeCell ref="AT134:AX134"/>
    <mergeCell ref="AY134:BF134"/>
    <mergeCell ref="A133:V133"/>
    <mergeCell ref="W133:AB133"/>
    <mergeCell ref="AC133:AF133"/>
    <mergeCell ref="AG133:AJ133"/>
    <mergeCell ref="AK133:AO133"/>
    <mergeCell ref="AP131:AS131"/>
    <mergeCell ref="AT131:AX131"/>
    <mergeCell ref="AY131:BF131"/>
    <mergeCell ref="A132:V132"/>
    <mergeCell ref="W132:AB132"/>
    <mergeCell ref="AC132:AF132"/>
    <mergeCell ref="AG132:AJ132"/>
    <mergeCell ref="AK132:AO132"/>
    <mergeCell ref="AP132:AS132"/>
    <mergeCell ref="AT132:AX132"/>
    <mergeCell ref="AY132:BF132"/>
    <mergeCell ref="A131:V131"/>
    <mergeCell ref="W131:AB131"/>
    <mergeCell ref="AC131:AF131"/>
    <mergeCell ref="AG131:AJ131"/>
    <mergeCell ref="AK131:AO131"/>
    <mergeCell ref="AP129:AS129"/>
    <mergeCell ref="AT129:AX129"/>
    <mergeCell ref="AY129:BF129"/>
    <mergeCell ref="A130:V130"/>
    <mergeCell ref="W130:AB130"/>
    <mergeCell ref="AC130:AF130"/>
    <mergeCell ref="AG130:AJ130"/>
    <mergeCell ref="AK130:AO130"/>
    <mergeCell ref="AP130:AS130"/>
    <mergeCell ref="AT130:AX130"/>
    <mergeCell ref="AY130:BF130"/>
    <mergeCell ref="A129:V129"/>
    <mergeCell ref="W129:AB129"/>
    <mergeCell ref="AC129:AF129"/>
    <mergeCell ref="AG129:AJ129"/>
    <mergeCell ref="AK129:AO129"/>
    <mergeCell ref="AP127:AS127"/>
    <mergeCell ref="AT127:AX127"/>
    <mergeCell ref="AY127:BF127"/>
    <mergeCell ref="A128:V128"/>
    <mergeCell ref="W128:AB128"/>
    <mergeCell ref="AC128:AF128"/>
    <mergeCell ref="AG128:AJ128"/>
    <mergeCell ref="AK128:AO128"/>
    <mergeCell ref="AP128:AS128"/>
    <mergeCell ref="AT128:AX128"/>
    <mergeCell ref="AY128:BF128"/>
    <mergeCell ref="A127:V127"/>
    <mergeCell ref="W127:AB127"/>
    <mergeCell ref="AC127:AF127"/>
    <mergeCell ref="AG127:AJ127"/>
    <mergeCell ref="AK127:AO127"/>
    <mergeCell ref="AP125:AS125"/>
    <mergeCell ref="AT125:AX125"/>
    <mergeCell ref="AY125:BF125"/>
    <mergeCell ref="A126:V126"/>
    <mergeCell ref="W126:AB126"/>
    <mergeCell ref="AC126:AF126"/>
    <mergeCell ref="AG126:AJ126"/>
    <mergeCell ref="AK126:AO126"/>
    <mergeCell ref="AP126:AS126"/>
    <mergeCell ref="AT126:AX126"/>
    <mergeCell ref="AY126:BF126"/>
    <mergeCell ref="A125:V125"/>
    <mergeCell ref="W125:AB125"/>
    <mergeCell ref="AC125:AF125"/>
    <mergeCell ref="AG125:AJ125"/>
    <mergeCell ref="AK125:AO125"/>
    <mergeCell ref="AP123:AS123"/>
    <mergeCell ref="AT123:AX123"/>
    <mergeCell ref="AY123:BF123"/>
    <mergeCell ref="A124:V124"/>
    <mergeCell ref="W124:AB124"/>
    <mergeCell ref="AC124:AF124"/>
    <mergeCell ref="AG124:AJ124"/>
    <mergeCell ref="AK124:AO124"/>
    <mergeCell ref="AP124:AS124"/>
    <mergeCell ref="AT124:AX124"/>
    <mergeCell ref="AY124:BF124"/>
    <mergeCell ref="A123:V123"/>
    <mergeCell ref="W123:AB123"/>
    <mergeCell ref="AC123:AF123"/>
    <mergeCell ref="AG123:AJ123"/>
    <mergeCell ref="AK123:AO123"/>
    <mergeCell ref="AP121:AS121"/>
    <mergeCell ref="AT121:AX121"/>
    <mergeCell ref="AY121:BF121"/>
    <mergeCell ref="A122:V122"/>
    <mergeCell ref="W122:AB122"/>
    <mergeCell ref="AC122:AF122"/>
    <mergeCell ref="AG122:AJ122"/>
    <mergeCell ref="AK122:AO122"/>
    <mergeCell ref="AP122:AS122"/>
    <mergeCell ref="AT122:AX122"/>
    <mergeCell ref="AY122:BF122"/>
    <mergeCell ref="A121:V121"/>
    <mergeCell ref="W121:AB121"/>
    <mergeCell ref="AC121:AF121"/>
    <mergeCell ref="AG121:AJ121"/>
    <mergeCell ref="AK121:AO121"/>
    <mergeCell ref="AP119:AS119"/>
    <mergeCell ref="AT119:AX119"/>
    <mergeCell ref="AY119:BF119"/>
    <mergeCell ref="A120:V120"/>
    <mergeCell ref="W120:AB120"/>
    <mergeCell ref="AC120:AF120"/>
    <mergeCell ref="AG120:AJ120"/>
    <mergeCell ref="AK120:AO120"/>
    <mergeCell ref="AP120:AS120"/>
    <mergeCell ref="AT120:AX120"/>
    <mergeCell ref="AY120:BF120"/>
    <mergeCell ref="A119:V119"/>
    <mergeCell ref="W119:AB119"/>
    <mergeCell ref="AC119:AF119"/>
    <mergeCell ref="AG119:AJ119"/>
    <mergeCell ref="AK119:AO119"/>
    <mergeCell ref="AP117:AS117"/>
    <mergeCell ref="AT117:AX117"/>
    <mergeCell ref="AY117:BF117"/>
    <mergeCell ref="A118:V118"/>
    <mergeCell ref="W118:AB118"/>
    <mergeCell ref="AC118:AF118"/>
    <mergeCell ref="AG118:AJ118"/>
    <mergeCell ref="AK118:AO118"/>
    <mergeCell ref="AP118:AS118"/>
    <mergeCell ref="AT118:AX118"/>
    <mergeCell ref="AY118:BF118"/>
    <mergeCell ref="A117:V117"/>
    <mergeCell ref="W117:AB117"/>
    <mergeCell ref="AC117:AF117"/>
    <mergeCell ref="AG117:AJ117"/>
    <mergeCell ref="AK117:AO117"/>
    <mergeCell ref="AP115:AS115"/>
    <mergeCell ref="AT115:AX115"/>
    <mergeCell ref="AY115:BF115"/>
    <mergeCell ref="A116:V116"/>
    <mergeCell ref="W116:AB116"/>
    <mergeCell ref="AC116:AF116"/>
    <mergeCell ref="AG116:AJ116"/>
    <mergeCell ref="AK116:AO116"/>
    <mergeCell ref="AP116:AS116"/>
    <mergeCell ref="AT116:AX116"/>
    <mergeCell ref="AY116:BF116"/>
    <mergeCell ref="A115:V115"/>
    <mergeCell ref="W115:AB115"/>
    <mergeCell ref="AC115:AF115"/>
    <mergeCell ref="AG115:AJ115"/>
    <mergeCell ref="AK115:AO115"/>
    <mergeCell ref="AP113:AS113"/>
    <mergeCell ref="AT113:AX113"/>
    <mergeCell ref="AY113:BF113"/>
    <mergeCell ref="A114:V114"/>
    <mergeCell ref="W114:AB114"/>
    <mergeCell ref="AC114:AF114"/>
    <mergeCell ref="AG114:AJ114"/>
    <mergeCell ref="AK114:AO114"/>
    <mergeCell ref="AP114:AS114"/>
    <mergeCell ref="AT114:AX114"/>
    <mergeCell ref="AY114:BF114"/>
    <mergeCell ref="A113:V113"/>
    <mergeCell ref="W113:AB113"/>
    <mergeCell ref="AC113:AF113"/>
    <mergeCell ref="AG113:AJ113"/>
    <mergeCell ref="AK113:AO113"/>
    <mergeCell ref="AP111:AS111"/>
    <mergeCell ref="AT111:AX111"/>
    <mergeCell ref="AY111:BF111"/>
    <mergeCell ref="A112:V112"/>
    <mergeCell ref="W112:AB112"/>
    <mergeCell ref="AC112:AF112"/>
    <mergeCell ref="AG112:AJ112"/>
    <mergeCell ref="AK112:AO112"/>
    <mergeCell ref="AP112:AS112"/>
    <mergeCell ref="AT112:AX112"/>
    <mergeCell ref="AY112:BF112"/>
    <mergeCell ref="A111:V111"/>
    <mergeCell ref="W111:AB111"/>
    <mergeCell ref="AC111:AF111"/>
    <mergeCell ref="AG111:AJ111"/>
    <mergeCell ref="AK111:AO111"/>
    <mergeCell ref="AP109:AS109"/>
    <mergeCell ref="AT109:AX109"/>
    <mergeCell ref="AY109:BF109"/>
    <mergeCell ref="A110:V110"/>
    <mergeCell ref="W110:AB110"/>
    <mergeCell ref="AC110:AF110"/>
    <mergeCell ref="AG110:AJ110"/>
    <mergeCell ref="AK110:AO110"/>
    <mergeCell ref="AP110:AS110"/>
    <mergeCell ref="AT110:AX110"/>
    <mergeCell ref="AY110:BF110"/>
    <mergeCell ref="A109:V109"/>
    <mergeCell ref="W109:AB109"/>
    <mergeCell ref="AC109:AF109"/>
    <mergeCell ref="AG109:AJ109"/>
    <mergeCell ref="AK109:AO109"/>
    <mergeCell ref="AP107:AS107"/>
    <mergeCell ref="AT107:AX107"/>
    <mergeCell ref="AY107:BF107"/>
    <mergeCell ref="A108:V108"/>
    <mergeCell ref="W108:AB108"/>
    <mergeCell ref="AC108:AF108"/>
    <mergeCell ref="AG108:AJ108"/>
    <mergeCell ref="AK108:AO108"/>
    <mergeCell ref="AP108:AS108"/>
    <mergeCell ref="AT108:AX108"/>
    <mergeCell ref="AY108:BF108"/>
    <mergeCell ref="A107:V107"/>
    <mergeCell ref="W107:AB107"/>
    <mergeCell ref="AC107:AF107"/>
    <mergeCell ref="AG107:AJ107"/>
    <mergeCell ref="AK107:AO107"/>
    <mergeCell ref="AP105:AS105"/>
    <mergeCell ref="AT105:AX105"/>
    <mergeCell ref="AY105:BF105"/>
    <mergeCell ref="A106:V106"/>
    <mergeCell ref="W106:AB106"/>
    <mergeCell ref="AC106:AF106"/>
    <mergeCell ref="AG106:AJ106"/>
    <mergeCell ref="AK106:AO106"/>
    <mergeCell ref="AP106:AS106"/>
    <mergeCell ref="AT106:AX106"/>
    <mergeCell ref="AY106:BF106"/>
    <mergeCell ref="A105:V105"/>
    <mergeCell ref="W105:AB105"/>
    <mergeCell ref="AC105:AF105"/>
    <mergeCell ref="AG105:AJ105"/>
    <mergeCell ref="AK105:AO105"/>
    <mergeCell ref="AP103:AS103"/>
    <mergeCell ref="AT103:AX103"/>
    <mergeCell ref="AY103:BF103"/>
    <mergeCell ref="A104:V104"/>
    <mergeCell ref="W104:AB104"/>
    <mergeCell ref="AC104:AF104"/>
    <mergeCell ref="AG104:AJ104"/>
    <mergeCell ref="AK104:AO104"/>
    <mergeCell ref="AP104:AS104"/>
    <mergeCell ref="AT104:AX104"/>
    <mergeCell ref="AY104:BF104"/>
    <mergeCell ref="A103:V103"/>
    <mergeCell ref="W103:AB103"/>
    <mergeCell ref="AC103:AF103"/>
    <mergeCell ref="AG103:AJ103"/>
    <mergeCell ref="AK103:AO103"/>
    <mergeCell ref="AP101:AS101"/>
    <mergeCell ref="AT101:AX101"/>
    <mergeCell ref="AY101:BF101"/>
    <mergeCell ref="A102:V102"/>
    <mergeCell ref="W102:AB102"/>
    <mergeCell ref="AC102:AF102"/>
    <mergeCell ref="AG102:AJ102"/>
    <mergeCell ref="AK102:AO102"/>
    <mergeCell ref="AP102:AS102"/>
    <mergeCell ref="AT102:AX102"/>
    <mergeCell ref="AY102:BF102"/>
    <mergeCell ref="A101:V101"/>
    <mergeCell ref="W101:AB101"/>
    <mergeCell ref="AC101:AF101"/>
    <mergeCell ref="AG101:AJ101"/>
    <mergeCell ref="AK101:AO101"/>
    <mergeCell ref="AP99:AS99"/>
    <mergeCell ref="AT99:AX99"/>
    <mergeCell ref="AY99:BF99"/>
    <mergeCell ref="A100:V100"/>
    <mergeCell ref="W100:AB100"/>
    <mergeCell ref="AC100:AF100"/>
    <mergeCell ref="AG100:AJ100"/>
    <mergeCell ref="AK100:AO100"/>
    <mergeCell ref="AP100:AS100"/>
    <mergeCell ref="AT100:AX100"/>
    <mergeCell ref="AY100:BF100"/>
    <mergeCell ref="A99:V99"/>
    <mergeCell ref="W99:AB99"/>
    <mergeCell ref="AC99:AF99"/>
    <mergeCell ref="AG99:AJ99"/>
    <mergeCell ref="AK99:AO99"/>
    <mergeCell ref="AP97:AS97"/>
    <mergeCell ref="AT97:AX97"/>
    <mergeCell ref="AY97:BF97"/>
    <mergeCell ref="A98:V98"/>
    <mergeCell ref="W98:AB98"/>
    <mergeCell ref="AC98:AF98"/>
    <mergeCell ref="AG98:AJ98"/>
    <mergeCell ref="AK98:AO98"/>
    <mergeCell ref="AP98:AS98"/>
    <mergeCell ref="AT98:AX98"/>
    <mergeCell ref="AY98:BF98"/>
    <mergeCell ref="A97:V97"/>
    <mergeCell ref="W97:AB97"/>
    <mergeCell ref="AC97:AF97"/>
    <mergeCell ref="AG97:AJ97"/>
    <mergeCell ref="AK97:AO97"/>
    <mergeCell ref="AP95:AS95"/>
    <mergeCell ref="AT95:AX95"/>
    <mergeCell ref="AY95:BF95"/>
    <mergeCell ref="A96:V96"/>
    <mergeCell ref="W96:AB96"/>
    <mergeCell ref="AC96:AF96"/>
    <mergeCell ref="AG96:AJ96"/>
    <mergeCell ref="AK96:AO96"/>
    <mergeCell ref="AP96:AS96"/>
    <mergeCell ref="AT96:AX96"/>
    <mergeCell ref="AY96:BF96"/>
    <mergeCell ref="A95:V95"/>
    <mergeCell ref="W95:AB95"/>
    <mergeCell ref="AC95:AF95"/>
    <mergeCell ref="AG95:AJ95"/>
    <mergeCell ref="AK95:AO95"/>
    <mergeCell ref="AP93:AS93"/>
    <mergeCell ref="AT93:AX93"/>
    <mergeCell ref="AY93:BF93"/>
    <mergeCell ref="A94:V94"/>
    <mergeCell ref="W94:AB94"/>
    <mergeCell ref="AC94:AF94"/>
    <mergeCell ref="AG94:AJ94"/>
    <mergeCell ref="AK94:AO94"/>
    <mergeCell ref="AP94:AS94"/>
    <mergeCell ref="AT94:AX94"/>
    <mergeCell ref="AY94:BF94"/>
    <mergeCell ref="A93:V93"/>
    <mergeCell ref="W93:AB93"/>
    <mergeCell ref="AC93:AF93"/>
    <mergeCell ref="AG93:AJ93"/>
    <mergeCell ref="AK93:AO93"/>
    <mergeCell ref="AP91:AS91"/>
    <mergeCell ref="AT91:AX91"/>
    <mergeCell ref="AY91:BF91"/>
    <mergeCell ref="A92:V92"/>
    <mergeCell ref="W92:AB92"/>
    <mergeCell ref="AC92:AF92"/>
    <mergeCell ref="AG92:AJ92"/>
    <mergeCell ref="AK92:AO92"/>
    <mergeCell ref="AP92:AS92"/>
    <mergeCell ref="AT92:AX92"/>
    <mergeCell ref="AY92:BF92"/>
    <mergeCell ref="A91:V91"/>
    <mergeCell ref="W91:AB91"/>
    <mergeCell ref="AC91:AF91"/>
    <mergeCell ref="AG91:AJ91"/>
    <mergeCell ref="AK91:AO91"/>
    <mergeCell ref="AP89:AS89"/>
    <mergeCell ref="AT89:AX89"/>
    <mergeCell ref="AY89:BF89"/>
    <mergeCell ref="A90:V90"/>
    <mergeCell ref="W90:AB90"/>
    <mergeCell ref="AC90:AF90"/>
    <mergeCell ref="AG90:AJ90"/>
    <mergeCell ref="AK90:AO90"/>
    <mergeCell ref="AP90:AS90"/>
    <mergeCell ref="AT90:AX90"/>
    <mergeCell ref="AY90:BF90"/>
    <mergeCell ref="A89:V89"/>
    <mergeCell ref="W89:AB89"/>
    <mergeCell ref="AC89:AF89"/>
    <mergeCell ref="AG89:AJ89"/>
    <mergeCell ref="AK89:AO89"/>
    <mergeCell ref="AP87:AS87"/>
    <mergeCell ref="AT87:AX87"/>
    <mergeCell ref="AY87:BF87"/>
    <mergeCell ref="A88:V88"/>
    <mergeCell ref="W88:AB88"/>
    <mergeCell ref="AC88:AF88"/>
    <mergeCell ref="AG88:AJ88"/>
    <mergeCell ref="AK88:AO88"/>
    <mergeCell ref="AP88:AS88"/>
    <mergeCell ref="AT88:AX88"/>
    <mergeCell ref="AY88:BF88"/>
    <mergeCell ref="A87:V87"/>
    <mergeCell ref="W87:AB87"/>
    <mergeCell ref="AC87:AF87"/>
    <mergeCell ref="AG87:AJ87"/>
    <mergeCell ref="AK87:AO87"/>
    <mergeCell ref="AP85:AS85"/>
    <mergeCell ref="AT85:AX85"/>
    <mergeCell ref="AY85:BF85"/>
    <mergeCell ref="A86:V86"/>
    <mergeCell ref="W86:AB86"/>
    <mergeCell ref="AC86:AF86"/>
    <mergeCell ref="AG86:AJ86"/>
    <mergeCell ref="AK86:AO86"/>
    <mergeCell ref="AP86:AS86"/>
    <mergeCell ref="AT86:AX86"/>
    <mergeCell ref="AY86:BF86"/>
    <mergeCell ref="A85:V85"/>
    <mergeCell ref="W85:AB85"/>
    <mergeCell ref="AC85:AF85"/>
    <mergeCell ref="AG85:AJ85"/>
    <mergeCell ref="AK85:AO85"/>
    <mergeCell ref="AP83:AS83"/>
    <mergeCell ref="AT83:AX83"/>
    <mergeCell ref="AY83:BF83"/>
    <mergeCell ref="A84:V84"/>
    <mergeCell ref="W84:AB84"/>
    <mergeCell ref="AC84:AF84"/>
    <mergeCell ref="AG84:AJ84"/>
    <mergeCell ref="AK84:AO84"/>
    <mergeCell ref="AP84:AS84"/>
    <mergeCell ref="AT84:AX84"/>
    <mergeCell ref="AY84:BF84"/>
    <mergeCell ref="A83:V83"/>
    <mergeCell ref="W83:AB83"/>
    <mergeCell ref="AC83:AF83"/>
    <mergeCell ref="AG83:AJ83"/>
    <mergeCell ref="AK83:AO83"/>
    <mergeCell ref="AP81:AS81"/>
    <mergeCell ref="AT81:AX81"/>
    <mergeCell ref="AY81:BF81"/>
    <mergeCell ref="A82:V82"/>
    <mergeCell ref="W82:AB82"/>
    <mergeCell ref="AC82:AF82"/>
    <mergeCell ref="AG82:AJ82"/>
    <mergeCell ref="AK82:AO82"/>
    <mergeCell ref="AP82:AS82"/>
    <mergeCell ref="AT82:AX82"/>
    <mergeCell ref="AY82:BF82"/>
    <mergeCell ref="A81:V81"/>
    <mergeCell ref="W81:AB81"/>
    <mergeCell ref="AC81:AF81"/>
    <mergeCell ref="AG81:AJ81"/>
    <mergeCell ref="AK81:AO81"/>
    <mergeCell ref="AP79:AS79"/>
    <mergeCell ref="AT79:AX79"/>
    <mergeCell ref="AY79:BF79"/>
    <mergeCell ref="A80:V80"/>
    <mergeCell ref="W80:AB80"/>
    <mergeCell ref="AC80:AF80"/>
    <mergeCell ref="AG80:AJ80"/>
    <mergeCell ref="AK80:AO80"/>
    <mergeCell ref="AP80:AS80"/>
    <mergeCell ref="AT80:AX80"/>
    <mergeCell ref="AY80:BF80"/>
    <mergeCell ref="A79:V79"/>
    <mergeCell ref="W79:AB79"/>
    <mergeCell ref="AC79:AF79"/>
    <mergeCell ref="AG79:AJ79"/>
    <mergeCell ref="AK79:AO79"/>
    <mergeCell ref="A78:V78"/>
    <mergeCell ref="W78:AB78"/>
    <mergeCell ref="AC78:AF78"/>
    <mergeCell ref="AG78:AJ78"/>
    <mergeCell ref="AK78:AO78"/>
    <mergeCell ref="AP78:AS78"/>
    <mergeCell ref="AT78:AX78"/>
    <mergeCell ref="AY78:BF78"/>
    <mergeCell ref="A77:V77"/>
    <mergeCell ref="W77:AB77"/>
    <mergeCell ref="AC77:AF77"/>
    <mergeCell ref="AG77:AJ77"/>
    <mergeCell ref="AK77:AO77"/>
    <mergeCell ref="AP75:AS75"/>
    <mergeCell ref="AT75:AX75"/>
    <mergeCell ref="AY75:BF75"/>
    <mergeCell ref="A76:V76"/>
    <mergeCell ref="W76:AB76"/>
    <mergeCell ref="AC76:AF76"/>
    <mergeCell ref="AG76:AJ76"/>
    <mergeCell ref="AK76:AO76"/>
    <mergeCell ref="AP76:AS76"/>
    <mergeCell ref="AT76:AX76"/>
    <mergeCell ref="AY76:BF76"/>
    <mergeCell ref="A75:V75"/>
    <mergeCell ref="W75:AB75"/>
    <mergeCell ref="AC75:AF75"/>
    <mergeCell ref="AG75:AJ75"/>
    <mergeCell ref="AK75:AO75"/>
    <mergeCell ref="A71:V71"/>
    <mergeCell ref="W71:AB71"/>
    <mergeCell ref="AC71:AF71"/>
    <mergeCell ref="AG71:AJ71"/>
    <mergeCell ref="AK71:AO71"/>
    <mergeCell ref="AP71:AS71"/>
    <mergeCell ref="AT71:AX71"/>
    <mergeCell ref="AY71:BF71"/>
    <mergeCell ref="AP77:AS77"/>
    <mergeCell ref="AT77:AX77"/>
    <mergeCell ref="AY77:BF77"/>
    <mergeCell ref="A72:V72"/>
    <mergeCell ref="W72:AB72"/>
    <mergeCell ref="AC72:AF72"/>
    <mergeCell ref="AG72:AJ72"/>
    <mergeCell ref="AK72:AO72"/>
    <mergeCell ref="AP72:AS72"/>
    <mergeCell ref="AT72:AX72"/>
    <mergeCell ref="AY72:BF72"/>
    <mergeCell ref="A67:V67"/>
    <mergeCell ref="W67:AB67"/>
    <mergeCell ref="AC67:AF67"/>
    <mergeCell ref="AP66:AS66"/>
    <mergeCell ref="AT66:AX66"/>
    <mergeCell ref="AY66:BF66"/>
    <mergeCell ref="AA1:AE1"/>
    <mergeCell ref="AM1:AQ1"/>
    <mergeCell ref="AG67:AJ67"/>
    <mergeCell ref="AK67:AO67"/>
    <mergeCell ref="AP67:AS67"/>
    <mergeCell ref="AT67:AX67"/>
    <mergeCell ref="AY67:BF67"/>
    <mergeCell ref="A66:V66"/>
    <mergeCell ref="W66:AB66"/>
    <mergeCell ref="AC66:AF66"/>
    <mergeCell ref="AG66:AJ66"/>
    <mergeCell ref="AK66:AO66"/>
    <mergeCell ref="AP64:AS64"/>
    <mergeCell ref="AT64:AX64"/>
    <mergeCell ref="AY64:BF64"/>
    <mergeCell ref="A65:V65"/>
    <mergeCell ref="W65:AB65"/>
    <mergeCell ref="AC65:AF65"/>
    <mergeCell ref="AG65:AJ65"/>
    <mergeCell ref="AK65:AO65"/>
    <mergeCell ref="AP65:AS65"/>
    <mergeCell ref="AT65:AX65"/>
    <mergeCell ref="AY65:BF65"/>
    <mergeCell ref="A64:V64"/>
    <mergeCell ref="W64:AB64"/>
    <mergeCell ref="AC64:AF64"/>
    <mergeCell ref="AG64:AJ64"/>
    <mergeCell ref="AK64:AO64"/>
    <mergeCell ref="AP62:AS62"/>
    <mergeCell ref="AT62:AX62"/>
    <mergeCell ref="AY62:BF62"/>
    <mergeCell ref="A63:V63"/>
    <mergeCell ref="W63:AB63"/>
    <mergeCell ref="AC63:AF63"/>
    <mergeCell ref="AG63:AJ63"/>
    <mergeCell ref="AK63:AO63"/>
    <mergeCell ref="AP63:AS63"/>
    <mergeCell ref="AT63:AX63"/>
    <mergeCell ref="AY63:BF63"/>
    <mergeCell ref="A62:V62"/>
    <mergeCell ref="W62:AB62"/>
    <mergeCell ref="AC62:AF62"/>
    <mergeCell ref="AG62:AJ62"/>
    <mergeCell ref="AK62:AO62"/>
    <mergeCell ref="AP60:AS60"/>
    <mergeCell ref="AT60:AX60"/>
    <mergeCell ref="AY60:BF60"/>
    <mergeCell ref="A61:V61"/>
    <mergeCell ref="W61:AB61"/>
    <mergeCell ref="AC61:AF61"/>
    <mergeCell ref="AG61:AJ61"/>
    <mergeCell ref="AK61:AO61"/>
    <mergeCell ref="AP61:AS61"/>
    <mergeCell ref="AT61:AX61"/>
    <mergeCell ref="AY61:BF61"/>
    <mergeCell ref="A60:V60"/>
    <mergeCell ref="W60:AB60"/>
    <mergeCell ref="AC60:AF60"/>
    <mergeCell ref="AG60:AJ60"/>
    <mergeCell ref="AK60:AO60"/>
    <mergeCell ref="AP58:AS58"/>
    <mergeCell ref="AT58:AX58"/>
    <mergeCell ref="AY58:BF58"/>
    <mergeCell ref="A59:V59"/>
    <mergeCell ref="W59:AB59"/>
    <mergeCell ref="AC59:AF59"/>
    <mergeCell ref="AG59:AJ59"/>
    <mergeCell ref="AK59:AO59"/>
    <mergeCell ref="AP59:AS59"/>
    <mergeCell ref="AT59:AX59"/>
    <mergeCell ref="AY59:BF59"/>
    <mergeCell ref="A58:V58"/>
    <mergeCell ref="W58:AB58"/>
    <mergeCell ref="AC58:AF58"/>
    <mergeCell ref="AG58:AJ58"/>
    <mergeCell ref="AK58:AO58"/>
    <mergeCell ref="AP56:AS56"/>
    <mergeCell ref="AT56:AX56"/>
    <mergeCell ref="AY56:BF56"/>
    <mergeCell ref="A57:V57"/>
    <mergeCell ref="W57:AB57"/>
    <mergeCell ref="AC57:AF57"/>
    <mergeCell ref="AG57:AJ57"/>
    <mergeCell ref="AK57:AO57"/>
    <mergeCell ref="AP57:AS57"/>
    <mergeCell ref="AT57:AX57"/>
    <mergeCell ref="AY57:BF57"/>
    <mergeCell ref="A56:V56"/>
    <mergeCell ref="W56:AB56"/>
    <mergeCell ref="AC56:AF56"/>
    <mergeCell ref="AG56:AJ56"/>
    <mergeCell ref="AK56:AO56"/>
    <mergeCell ref="AP54:AS54"/>
    <mergeCell ref="AT54:AX54"/>
    <mergeCell ref="AY54:BF54"/>
    <mergeCell ref="A55:V55"/>
    <mergeCell ref="W55:AB55"/>
    <mergeCell ref="AC55:AF55"/>
    <mergeCell ref="AG55:AJ55"/>
    <mergeCell ref="AK55:AO55"/>
    <mergeCell ref="AP55:AS55"/>
    <mergeCell ref="AT55:AX55"/>
    <mergeCell ref="AY55:BF55"/>
    <mergeCell ref="A54:V54"/>
    <mergeCell ref="W54:AB54"/>
    <mergeCell ref="AC54:AF54"/>
    <mergeCell ref="AG54:AJ54"/>
    <mergeCell ref="AK54:AO54"/>
    <mergeCell ref="AP52:AS52"/>
    <mergeCell ref="AT52:AX52"/>
    <mergeCell ref="AY52:BF52"/>
    <mergeCell ref="A53:V53"/>
    <mergeCell ref="W53:AB53"/>
    <mergeCell ref="AC53:AF53"/>
    <mergeCell ref="AG53:AJ53"/>
    <mergeCell ref="AK53:AO53"/>
    <mergeCell ref="AP53:AS53"/>
    <mergeCell ref="AT53:AX53"/>
    <mergeCell ref="AY53:BF53"/>
    <mergeCell ref="A52:V52"/>
    <mergeCell ref="W52:AB52"/>
    <mergeCell ref="AC52:AF52"/>
    <mergeCell ref="AG52:AJ52"/>
    <mergeCell ref="AK52:AO52"/>
    <mergeCell ref="AP50:AS50"/>
    <mergeCell ref="AT50:AX50"/>
    <mergeCell ref="AY50:BF50"/>
    <mergeCell ref="A51:V51"/>
    <mergeCell ref="W51:AB51"/>
    <mergeCell ref="AC51:AF51"/>
    <mergeCell ref="AG51:AJ51"/>
    <mergeCell ref="AK51:AO51"/>
    <mergeCell ref="AP51:AS51"/>
    <mergeCell ref="AT51:AX51"/>
    <mergeCell ref="AY51:BF51"/>
    <mergeCell ref="A50:V50"/>
    <mergeCell ref="W50:AB50"/>
    <mergeCell ref="AC50:AF50"/>
    <mergeCell ref="AG50:AJ50"/>
    <mergeCell ref="AK50:AO50"/>
    <mergeCell ref="AP48:AS48"/>
    <mergeCell ref="AT48:AX48"/>
    <mergeCell ref="AY48:BF48"/>
    <mergeCell ref="A49:V49"/>
    <mergeCell ref="W49:AB49"/>
    <mergeCell ref="AC49:AF49"/>
    <mergeCell ref="AG49:AJ49"/>
    <mergeCell ref="AK49:AO49"/>
    <mergeCell ref="AP49:AS49"/>
    <mergeCell ref="AT49:AX49"/>
    <mergeCell ref="AY49:BF49"/>
    <mergeCell ref="A48:V48"/>
    <mergeCell ref="W48:AB48"/>
    <mergeCell ref="AC48:AF48"/>
    <mergeCell ref="AG48:AJ48"/>
    <mergeCell ref="AK48:AO48"/>
    <mergeCell ref="AP46:AS46"/>
    <mergeCell ref="AT46:AX46"/>
    <mergeCell ref="AY46:BF46"/>
    <mergeCell ref="A47:V47"/>
    <mergeCell ref="W47:AB47"/>
    <mergeCell ref="AC47:AF47"/>
    <mergeCell ref="AG47:AJ47"/>
    <mergeCell ref="AK47:AO47"/>
    <mergeCell ref="AP47:AS47"/>
    <mergeCell ref="AT47:AX47"/>
    <mergeCell ref="AY47:BF47"/>
    <mergeCell ref="A46:V46"/>
    <mergeCell ref="W46:AB46"/>
    <mergeCell ref="AC46:AF46"/>
    <mergeCell ref="AG46:AJ46"/>
    <mergeCell ref="AK46:AO46"/>
    <mergeCell ref="AP44:AS44"/>
    <mergeCell ref="AT44:AX44"/>
    <mergeCell ref="AY44:BF44"/>
    <mergeCell ref="A45:V45"/>
    <mergeCell ref="W45:AB45"/>
    <mergeCell ref="AC45:AF45"/>
    <mergeCell ref="AG45:AJ45"/>
    <mergeCell ref="AK45:AO45"/>
    <mergeCell ref="AP45:AS45"/>
    <mergeCell ref="AT45:AX45"/>
    <mergeCell ref="AY45:BF45"/>
    <mergeCell ref="A44:V44"/>
    <mergeCell ref="W44:AB44"/>
    <mergeCell ref="AC44:AF44"/>
    <mergeCell ref="AG44:AJ44"/>
    <mergeCell ref="AK44:AO44"/>
    <mergeCell ref="AP42:AS42"/>
    <mergeCell ref="AT42:AX42"/>
    <mergeCell ref="AY42:BF42"/>
    <mergeCell ref="A43:V43"/>
    <mergeCell ref="W43:AB43"/>
    <mergeCell ref="AC43:AF43"/>
    <mergeCell ref="AG43:AJ43"/>
    <mergeCell ref="AK43:AO43"/>
    <mergeCell ref="AP43:AS43"/>
    <mergeCell ref="AT43:AX43"/>
    <mergeCell ref="AY43:BF43"/>
    <mergeCell ref="A42:V42"/>
    <mergeCell ref="W42:AB42"/>
    <mergeCell ref="AC42:AF42"/>
    <mergeCell ref="AG42:AJ42"/>
    <mergeCell ref="AK42:AO42"/>
    <mergeCell ref="AP40:AS40"/>
    <mergeCell ref="AT40:AX40"/>
    <mergeCell ref="AY40:BF40"/>
    <mergeCell ref="A41:V41"/>
    <mergeCell ref="W41:AB41"/>
    <mergeCell ref="AC41:AF41"/>
    <mergeCell ref="AG41:AJ41"/>
    <mergeCell ref="AK41:AO41"/>
    <mergeCell ref="AP41:AS41"/>
    <mergeCell ref="AT41:AX41"/>
    <mergeCell ref="AY41:BF41"/>
    <mergeCell ref="A40:V40"/>
    <mergeCell ref="W40:AB40"/>
    <mergeCell ref="AC40:AF40"/>
    <mergeCell ref="AG40:AJ40"/>
    <mergeCell ref="AK40:AO40"/>
    <mergeCell ref="AP38:AS38"/>
    <mergeCell ref="AT38:AX38"/>
    <mergeCell ref="AY38:BF38"/>
    <mergeCell ref="A39:V39"/>
    <mergeCell ref="W39:AB39"/>
    <mergeCell ref="AC39:AF39"/>
    <mergeCell ref="AG39:AJ39"/>
    <mergeCell ref="AK39:AO39"/>
    <mergeCell ref="AP39:AS39"/>
    <mergeCell ref="AT39:AX39"/>
    <mergeCell ref="AY39:BF39"/>
    <mergeCell ref="A38:V38"/>
    <mergeCell ref="W38:AB38"/>
    <mergeCell ref="AC38:AF38"/>
    <mergeCell ref="AG38:AJ38"/>
    <mergeCell ref="AK38:AO38"/>
    <mergeCell ref="AP36:AS36"/>
    <mergeCell ref="AT36:AX36"/>
    <mergeCell ref="AY36:BF36"/>
    <mergeCell ref="A37:V37"/>
    <mergeCell ref="W37:AB37"/>
    <mergeCell ref="AC37:AF37"/>
    <mergeCell ref="AG37:AJ37"/>
    <mergeCell ref="AK37:AO37"/>
    <mergeCell ref="AP37:AS37"/>
    <mergeCell ref="AT37:AX37"/>
    <mergeCell ref="AY37:BF37"/>
    <mergeCell ref="A36:V36"/>
    <mergeCell ref="W36:AB36"/>
    <mergeCell ref="AC36:AF36"/>
    <mergeCell ref="AG36:AJ36"/>
    <mergeCell ref="AK36:AO36"/>
    <mergeCell ref="AP34:AS34"/>
    <mergeCell ref="AT34:AX34"/>
    <mergeCell ref="AY34:BF34"/>
    <mergeCell ref="A35:V35"/>
    <mergeCell ref="W35:AB35"/>
    <mergeCell ref="AC35:AF35"/>
    <mergeCell ref="AG35:AJ35"/>
    <mergeCell ref="AK35:AO35"/>
    <mergeCell ref="AP35:AS35"/>
    <mergeCell ref="AT35:AX35"/>
    <mergeCell ref="AY35:BF35"/>
    <mergeCell ref="A34:V34"/>
    <mergeCell ref="W34:AB34"/>
    <mergeCell ref="AC34:AF34"/>
    <mergeCell ref="AG34:AJ34"/>
    <mergeCell ref="AK34:AO34"/>
    <mergeCell ref="AP32:AS32"/>
    <mergeCell ref="AT32:AX32"/>
    <mergeCell ref="AY32:BF32"/>
    <mergeCell ref="A33:V33"/>
    <mergeCell ref="W33:AB33"/>
    <mergeCell ref="AC33:AF33"/>
    <mergeCell ref="AG33:AJ33"/>
    <mergeCell ref="AK33:AO33"/>
    <mergeCell ref="AP33:AS33"/>
    <mergeCell ref="AT33:AX33"/>
    <mergeCell ref="AY33:BF33"/>
    <mergeCell ref="A32:V32"/>
    <mergeCell ref="W32:AB32"/>
    <mergeCell ref="AC32:AF32"/>
    <mergeCell ref="AG32:AJ32"/>
    <mergeCell ref="AK32:AO32"/>
    <mergeCell ref="AP30:AS30"/>
    <mergeCell ref="AT30:AX30"/>
    <mergeCell ref="AY30:BF30"/>
    <mergeCell ref="A31:V31"/>
    <mergeCell ref="W31:AB31"/>
    <mergeCell ref="AC31:AF31"/>
    <mergeCell ref="AG31:AJ31"/>
    <mergeCell ref="AK31:AO31"/>
    <mergeCell ref="AP31:AS31"/>
    <mergeCell ref="AT31:AX31"/>
    <mergeCell ref="AY31:BF31"/>
    <mergeCell ref="A30:V30"/>
    <mergeCell ref="W30:AB30"/>
    <mergeCell ref="AC30:AF30"/>
    <mergeCell ref="AG30:AJ30"/>
    <mergeCell ref="AK30:AO30"/>
    <mergeCell ref="AP28:AS28"/>
    <mergeCell ref="AT28:AX28"/>
    <mergeCell ref="AY28:BF28"/>
    <mergeCell ref="A29:V29"/>
    <mergeCell ref="W29:AB29"/>
    <mergeCell ref="AC29:AF29"/>
    <mergeCell ref="AG29:AJ29"/>
    <mergeCell ref="AK29:AO29"/>
    <mergeCell ref="AP29:AS29"/>
    <mergeCell ref="AT29:AX29"/>
    <mergeCell ref="AY29:BF29"/>
    <mergeCell ref="A28:V28"/>
    <mergeCell ref="W28:AB28"/>
    <mergeCell ref="AC28:AF28"/>
    <mergeCell ref="AG28:AJ28"/>
    <mergeCell ref="AK28:AO28"/>
    <mergeCell ref="AP26:AS26"/>
    <mergeCell ref="AT26:AX26"/>
    <mergeCell ref="AY26:BF26"/>
    <mergeCell ref="A27:V27"/>
    <mergeCell ref="W27:AB27"/>
    <mergeCell ref="AC27:AF27"/>
    <mergeCell ref="AG27:AJ27"/>
    <mergeCell ref="AK27:AO27"/>
    <mergeCell ref="AP27:AS27"/>
    <mergeCell ref="AT27:AX27"/>
    <mergeCell ref="AY27:BF27"/>
    <mergeCell ref="A26:V26"/>
    <mergeCell ref="W26:AB26"/>
    <mergeCell ref="AC26:AF26"/>
    <mergeCell ref="AG26:AJ26"/>
    <mergeCell ref="AK26:AO26"/>
    <mergeCell ref="AP24:AS24"/>
    <mergeCell ref="AT24:AX24"/>
    <mergeCell ref="AY24:BF24"/>
    <mergeCell ref="A25:V25"/>
    <mergeCell ref="W25:AB25"/>
    <mergeCell ref="AC25:AF25"/>
    <mergeCell ref="AG25:AJ25"/>
    <mergeCell ref="AK25:AO25"/>
    <mergeCell ref="AP25:AS25"/>
    <mergeCell ref="AT25:AX25"/>
    <mergeCell ref="AY25:BF25"/>
    <mergeCell ref="A24:V24"/>
    <mergeCell ref="W24:AB24"/>
    <mergeCell ref="AC24:AF24"/>
    <mergeCell ref="AG24:AJ24"/>
    <mergeCell ref="AK24:AO24"/>
    <mergeCell ref="AP22:AS22"/>
    <mergeCell ref="AT22:AX22"/>
    <mergeCell ref="AY22:BF22"/>
    <mergeCell ref="A23:V23"/>
    <mergeCell ref="W23:AB23"/>
    <mergeCell ref="AC23:AF23"/>
    <mergeCell ref="AG23:AJ23"/>
    <mergeCell ref="AK23:AO23"/>
    <mergeCell ref="AP23:AS23"/>
    <mergeCell ref="AT23:AX23"/>
    <mergeCell ref="AY23:BF23"/>
    <mergeCell ref="A22:V22"/>
    <mergeCell ref="W22:AB22"/>
    <mergeCell ref="AC22:AF22"/>
    <mergeCell ref="AG22:AJ22"/>
    <mergeCell ref="AK22:AO22"/>
    <mergeCell ref="AP20:AS20"/>
    <mergeCell ref="AT20:AX20"/>
    <mergeCell ref="AY20:BF20"/>
    <mergeCell ref="A21:V21"/>
    <mergeCell ref="W21:AB21"/>
    <mergeCell ref="AC21:AF21"/>
    <mergeCell ref="AG21:AJ21"/>
    <mergeCell ref="AK21:AO21"/>
    <mergeCell ref="AP21:AS21"/>
    <mergeCell ref="AT21:AX21"/>
    <mergeCell ref="AY21:BF21"/>
    <mergeCell ref="A20:V20"/>
    <mergeCell ref="W20:AB20"/>
    <mergeCell ref="AC20:AF20"/>
    <mergeCell ref="AG20:AJ20"/>
    <mergeCell ref="AK20:AO20"/>
    <mergeCell ref="AP18:AS18"/>
    <mergeCell ref="AT18:AX18"/>
    <mergeCell ref="AY18:BF18"/>
    <mergeCell ref="A19:V19"/>
    <mergeCell ref="W19:AB19"/>
    <mergeCell ref="AC19:AF19"/>
    <mergeCell ref="AG19:AJ19"/>
    <mergeCell ref="AK19:AO19"/>
    <mergeCell ref="AP19:AS19"/>
    <mergeCell ref="AT19:AX19"/>
    <mergeCell ref="AY19:BF19"/>
    <mergeCell ref="A18:V18"/>
    <mergeCell ref="W18:AB18"/>
    <mergeCell ref="AC18:AF18"/>
    <mergeCell ref="AG18:AJ18"/>
    <mergeCell ref="AK18:AO18"/>
    <mergeCell ref="AP16:AS16"/>
    <mergeCell ref="AT16:AX16"/>
    <mergeCell ref="AY16:BF16"/>
    <mergeCell ref="A17:V17"/>
    <mergeCell ref="W17:AB17"/>
    <mergeCell ref="AC17:AF17"/>
    <mergeCell ref="AG17:AJ17"/>
    <mergeCell ref="AK17:AO17"/>
    <mergeCell ref="AP17:AS17"/>
    <mergeCell ref="AT17:AX17"/>
    <mergeCell ref="AY17:BF17"/>
    <mergeCell ref="A16:V16"/>
    <mergeCell ref="W16:AB16"/>
    <mergeCell ref="AC16:AF16"/>
    <mergeCell ref="AG16:AJ16"/>
    <mergeCell ref="AK16:AO16"/>
    <mergeCell ref="AP14:AS14"/>
    <mergeCell ref="AT14:AX14"/>
    <mergeCell ref="AY14:BF14"/>
    <mergeCell ref="A15:V15"/>
    <mergeCell ref="W15:AB15"/>
    <mergeCell ref="AC15:AF15"/>
    <mergeCell ref="AG15:AJ15"/>
    <mergeCell ref="AK15:AO15"/>
    <mergeCell ref="AP15:AS15"/>
    <mergeCell ref="AT15:AX15"/>
    <mergeCell ref="AY15:BF15"/>
    <mergeCell ref="A14:V14"/>
    <mergeCell ref="W14:AB14"/>
    <mergeCell ref="AC14:AF14"/>
    <mergeCell ref="AG14:AJ14"/>
    <mergeCell ref="AK14:AO14"/>
    <mergeCell ref="AP12:AS12"/>
    <mergeCell ref="AT12:AX12"/>
    <mergeCell ref="AY12:BF12"/>
    <mergeCell ref="A13:V13"/>
    <mergeCell ref="W13:AB13"/>
    <mergeCell ref="AC13:AF13"/>
    <mergeCell ref="AG13:AJ13"/>
    <mergeCell ref="AK13:AO13"/>
    <mergeCell ref="AP13:AS13"/>
    <mergeCell ref="AT13:AX13"/>
    <mergeCell ref="AY13:BF13"/>
    <mergeCell ref="A12:V12"/>
    <mergeCell ref="W12:AB12"/>
    <mergeCell ref="AC12:AF12"/>
    <mergeCell ref="AG12:AJ12"/>
    <mergeCell ref="AK12:AO12"/>
    <mergeCell ref="AP10:AS10"/>
    <mergeCell ref="AT10:AX10"/>
    <mergeCell ref="AY10:BF10"/>
    <mergeCell ref="A11:V11"/>
    <mergeCell ref="W11:AB11"/>
    <mergeCell ref="AC11:AF11"/>
    <mergeCell ref="AG11:AJ11"/>
    <mergeCell ref="AK11:AO11"/>
    <mergeCell ref="AP11:AS11"/>
    <mergeCell ref="AT11:AX11"/>
    <mergeCell ref="AY11:BF11"/>
    <mergeCell ref="A10:V10"/>
    <mergeCell ref="W10:AB10"/>
    <mergeCell ref="AC10:AF10"/>
    <mergeCell ref="AG10:AJ10"/>
    <mergeCell ref="AK10:AO10"/>
    <mergeCell ref="AP8:AS8"/>
    <mergeCell ref="AT8:AX8"/>
    <mergeCell ref="AY8:BF8"/>
    <mergeCell ref="A9:V9"/>
    <mergeCell ref="W9:AB9"/>
    <mergeCell ref="AC9:AF9"/>
    <mergeCell ref="AG9:AJ9"/>
    <mergeCell ref="AK9:AO9"/>
    <mergeCell ref="AP9:AS9"/>
    <mergeCell ref="AT9:AX9"/>
    <mergeCell ref="AY9:BF9"/>
    <mergeCell ref="A8:V8"/>
    <mergeCell ref="W8:AB8"/>
    <mergeCell ref="AC8:AF8"/>
    <mergeCell ref="AG8:AJ8"/>
    <mergeCell ref="AK8:AO8"/>
    <mergeCell ref="AP6:AS6"/>
    <mergeCell ref="AT6:AX6"/>
    <mergeCell ref="AY6:BF6"/>
    <mergeCell ref="A7:V7"/>
    <mergeCell ref="W7:AB7"/>
    <mergeCell ref="AC7:AF7"/>
    <mergeCell ref="AG7:AJ7"/>
    <mergeCell ref="AK7:AO7"/>
    <mergeCell ref="AP7:AS7"/>
    <mergeCell ref="AT7:AX7"/>
    <mergeCell ref="AY7:BF7"/>
    <mergeCell ref="A6:V6"/>
    <mergeCell ref="W6:AB6"/>
    <mergeCell ref="AC6:AF6"/>
    <mergeCell ref="AG6:AJ6"/>
    <mergeCell ref="AK6:AO6"/>
    <mergeCell ref="A1:D1"/>
    <mergeCell ref="E1:S1"/>
    <mergeCell ref="A3:V3"/>
    <mergeCell ref="AY3:BF3"/>
    <mergeCell ref="AY4:BF4"/>
    <mergeCell ref="A5:V5"/>
    <mergeCell ref="W5:AB5"/>
    <mergeCell ref="AC5:AF5"/>
    <mergeCell ref="AG5:AJ5"/>
    <mergeCell ref="AK5:AO5"/>
    <mergeCell ref="AP5:AS5"/>
    <mergeCell ref="AT5:AX5"/>
    <mergeCell ref="AY5:BF5"/>
    <mergeCell ref="W3:AB3"/>
    <mergeCell ref="W4:AB4"/>
    <mergeCell ref="AC3:AF3"/>
    <mergeCell ref="AC4:AF4"/>
    <mergeCell ref="AG3:AJ3"/>
    <mergeCell ref="AG4:AJ4"/>
    <mergeCell ref="AK3:AO3"/>
    <mergeCell ref="AK4:AO4"/>
    <mergeCell ref="AP4:AS4"/>
    <mergeCell ref="AP3:AS3"/>
    <mergeCell ref="AT3:AX3"/>
    <mergeCell ref="AT4:AX4"/>
    <mergeCell ref="A4:V4"/>
    <mergeCell ref="AS1:AW1"/>
    <mergeCell ref="AX1:BF1"/>
    <mergeCell ref="U1:Z1"/>
    <mergeCell ref="AG1:AL1"/>
    <mergeCell ref="A144:V144"/>
    <mergeCell ref="W144:AB144"/>
    <mergeCell ref="AC144:AF144"/>
    <mergeCell ref="AG144:AJ144"/>
    <mergeCell ref="AK144:AO144"/>
    <mergeCell ref="AP144:AS144"/>
    <mergeCell ref="AT144:AX144"/>
    <mergeCell ref="AY144:BF144"/>
    <mergeCell ref="A145:V145"/>
    <mergeCell ref="W145:AB145"/>
    <mergeCell ref="AC145:AF145"/>
    <mergeCell ref="AG145:AJ145"/>
    <mergeCell ref="AK145:AO145"/>
    <mergeCell ref="AP145:AS145"/>
    <mergeCell ref="AT145:AX145"/>
    <mergeCell ref="AY145:BF145"/>
    <mergeCell ref="A146:V146"/>
    <mergeCell ref="W146:AB146"/>
    <mergeCell ref="AC146:AF146"/>
    <mergeCell ref="AG146:AJ146"/>
    <mergeCell ref="AK146:AO146"/>
    <mergeCell ref="AP146:AS146"/>
    <mergeCell ref="AT146:AX146"/>
    <mergeCell ref="AY146:BF146"/>
    <mergeCell ref="A147:V147"/>
    <mergeCell ref="W147:AB147"/>
    <mergeCell ref="AC147:AF147"/>
    <mergeCell ref="AG147:AJ147"/>
    <mergeCell ref="AK147:AO147"/>
    <mergeCell ref="AP147:AS147"/>
    <mergeCell ref="AT147:AX147"/>
    <mergeCell ref="AY147:BF147"/>
    <mergeCell ref="A148:V148"/>
    <mergeCell ref="W148:AB148"/>
    <mergeCell ref="AC148:AF148"/>
    <mergeCell ref="AG148:AJ148"/>
    <mergeCell ref="AK148:AO148"/>
    <mergeCell ref="AP148:AS148"/>
    <mergeCell ref="AT148:AX148"/>
    <mergeCell ref="AY148:BF148"/>
    <mergeCell ref="A149:V149"/>
    <mergeCell ref="W149:AB149"/>
    <mergeCell ref="AC149:AF149"/>
    <mergeCell ref="AG149:AJ149"/>
    <mergeCell ref="AK149:AO149"/>
    <mergeCell ref="AP149:AS149"/>
    <mergeCell ref="AT149:AX149"/>
    <mergeCell ref="AY149:BF149"/>
    <mergeCell ref="A150:V150"/>
    <mergeCell ref="W150:AB150"/>
    <mergeCell ref="AC150:AF150"/>
    <mergeCell ref="AG150:AJ150"/>
    <mergeCell ref="AK150:AO150"/>
    <mergeCell ref="AP150:AS150"/>
    <mergeCell ref="AT150:AX150"/>
    <mergeCell ref="AY150:BF150"/>
    <mergeCell ref="A151:V151"/>
    <mergeCell ref="W151:AB151"/>
    <mergeCell ref="AC151:AF151"/>
    <mergeCell ref="AG151:AJ151"/>
    <mergeCell ref="AK151:AO151"/>
    <mergeCell ref="AP151:AS151"/>
    <mergeCell ref="AT151:AX151"/>
    <mergeCell ref="AY151:BF151"/>
    <mergeCell ref="A152:V152"/>
    <mergeCell ref="W152:AB152"/>
    <mergeCell ref="AC152:AF152"/>
    <mergeCell ref="AG152:AJ152"/>
    <mergeCell ref="AK152:AO152"/>
    <mergeCell ref="AP152:AS152"/>
    <mergeCell ref="AT152:AX152"/>
    <mergeCell ref="AY152:BF152"/>
    <mergeCell ref="A153:V153"/>
    <mergeCell ref="W153:AB153"/>
    <mergeCell ref="AC153:AF153"/>
    <mergeCell ref="AG153:AJ153"/>
    <mergeCell ref="AK153:AO153"/>
    <mergeCell ref="AP153:AS153"/>
    <mergeCell ref="AT153:AX153"/>
    <mergeCell ref="AY153:BF153"/>
    <mergeCell ref="A154:V154"/>
    <mergeCell ref="W154:AB154"/>
    <mergeCell ref="AC154:AF154"/>
    <mergeCell ref="AG154:AJ154"/>
    <mergeCell ref="AK154:AO154"/>
    <mergeCell ref="AP154:AS154"/>
    <mergeCell ref="AT154:AX154"/>
    <mergeCell ref="AY154:BF154"/>
    <mergeCell ref="A155:V155"/>
    <mergeCell ref="W155:AB155"/>
    <mergeCell ref="AC155:AF155"/>
    <mergeCell ref="AG155:AJ155"/>
    <mergeCell ref="AK155:AO155"/>
    <mergeCell ref="AP155:AS155"/>
    <mergeCell ref="AT155:AX155"/>
    <mergeCell ref="AY155:BF155"/>
    <mergeCell ref="A156:V156"/>
    <mergeCell ref="W156:AB156"/>
    <mergeCell ref="AC156:AF156"/>
    <mergeCell ref="AG156:AJ156"/>
    <mergeCell ref="AK156:AO156"/>
    <mergeCell ref="AP156:AS156"/>
    <mergeCell ref="AT156:AX156"/>
    <mergeCell ref="AY156:BF156"/>
    <mergeCell ref="A157:V157"/>
    <mergeCell ref="W157:AB157"/>
    <mergeCell ref="AC157:AF157"/>
    <mergeCell ref="AG157:AJ157"/>
    <mergeCell ref="AK157:AO157"/>
    <mergeCell ref="AP157:AS157"/>
    <mergeCell ref="AT157:AX157"/>
    <mergeCell ref="AY157:BF157"/>
    <mergeCell ref="A158:V158"/>
    <mergeCell ref="W158:AB158"/>
    <mergeCell ref="AC158:AF158"/>
    <mergeCell ref="AG158:AJ158"/>
    <mergeCell ref="AK158:AO158"/>
    <mergeCell ref="AP158:AS158"/>
    <mergeCell ref="AT158:AX158"/>
    <mergeCell ref="AY158:BF158"/>
    <mergeCell ref="A159:V159"/>
    <mergeCell ref="W159:AB159"/>
    <mergeCell ref="AC159:AF159"/>
    <mergeCell ref="AG159:AJ159"/>
    <mergeCell ref="AK159:AO159"/>
    <mergeCell ref="AP159:AS159"/>
    <mergeCell ref="AT159:AX159"/>
    <mergeCell ref="AY159:BF159"/>
    <mergeCell ref="A160:V160"/>
    <mergeCell ref="W160:AB160"/>
    <mergeCell ref="AC160:AF160"/>
    <mergeCell ref="AG160:AJ160"/>
    <mergeCell ref="AK160:AO160"/>
    <mergeCell ref="AP160:AS160"/>
    <mergeCell ref="AT160:AX160"/>
    <mergeCell ref="AY160:BF160"/>
    <mergeCell ref="A161:V161"/>
    <mergeCell ref="W161:AB161"/>
    <mergeCell ref="AC161:AF161"/>
    <mergeCell ref="AG161:AJ161"/>
    <mergeCell ref="AK161:AO161"/>
    <mergeCell ref="AP161:AS161"/>
    <mergeCell ref="AT161:AX161"/>
    <mergeCell ref="AY161:BF161"/>
    <mergeCell ref="A162:V162"/>
    <mergeCell ref="W162:AB162"/>
    <mergeCell ref="AC162:AF162"/>
    <mergeCell ref="AG162:AJ162"/>
    <mergeCell ref="AK162:AO162"/>
    <mergeCell ref="AP162:AS162"/>
    <mergeCell ref="AT162:AX162"/>
    <mergeCell ref="AY162:BF162"/>
    <mergeCell ref="A163:V163"/>
    <mergeCell ref="W163:AB163"/>
    <mergeCell ref="AC163:AF163"/>
    <mergeCell ref="AG163:AJ163"/>
    <mergeCell ref="AK163:AO163"/>
    <mergeCell ref="AP163:AS163"/>
    <mergeCell ref="AT163:AX163"/>
    <mergeCell ref="AY163:BF163"/>
    <mergeCell ref="A164:V164"/>
    <mergeCell ref="W164:AB164"/>
    <mergeCell ref="AC164:AF164"/>
    <mergeCell ref="AG164:AJ164"/>
    <mergeCell ref="AK164:AO164"/>
    <mergeCell ref="AP164:AS164"/>
    <mergeCell ref="AT164:AX164"/>
    <mergeCell ref="AY164:BF164"/>
    <mergeCell ref="A165:V165"/>
    <mergeCell ref="W165:AB165"/>
    <mergeCell ref="AC165:AF165"/>
    <mergeCell ref="AG165:AJ165"/>
    <mergeCell ref="AK165:AO165"/>
    <mergeCell ref="AP165:AS165"/>
    <mergeCell ref="AT165:AX165"/>
    <mergeCell ref="AY165:BF165"/>
    <mergeCell ref="A166:V166"/>
    <mergeCell ref="W166:AB166"/>
    <mergeCell ref="AC166:AF166"/>
    <mergeCell ref="AG166:AJ166"/>
    <mergeCell ref="AK166:AO166"/>
    <mergeCell ref="AP166:AS166"/>
    <mergeCell ref="AT166:AX166"/>
    <mergeCell ref="AY166:BF166"/>
    <mergeCell ref="A167:V167"/>
    <mergeCell ref="W167:AB167"/>
    <mergeCell ref="AC167:AF167"/>
    <mergeCell ref="AG167:AJ167"/>
    <mergeCell ref="AK167:AO167"/>
    <mergeCell ref="AP167:AS167"/>
    <mergeCell ref="AT167:AX167"/>
    <mergeCell ref="AY167:BF167"/>
    <mergeCell ref="A168:V168"/>
    <mergeCell ref="W168:AB168"/>
    <mergeCell ref="AC168:AF168"/>
    <mergeCell ref="AG168:AJ168"/>
    <mergeCell ref="AK168:AO168"/>
    <mergeCell ref="AP168:AS168"/>
    <mergeCell ref="AT168:AX168"/>
    <mergeCell ref="AY168:BF168"/>
    <mergeCell ref="A169:V169"/>
    <mergeCell ref="W169:AB169"/>
    <mergeCell ref="AC169:AF169"/>
    <mergeCell ref="AG169:AJ169"/>
    <mergeCell ref="AK169:AO169"/>
    <mergeCell ref="AP169:AS169"/>
    <mergeCell ref="AT169:AX169"/>
    <mergeCell ref="AY169:BF169"/>
    <mergeCell ref="A170:V170"/>
    <mergeCell ref="W170:AB170"/>
    <mergeCell ref="AC170:AF170"/>
    <mergeCell ref="AG170:AJ170"/>
    <mergeCell ref="AK170:AO170"/>
    <mergeCell ref="AP170:AS170"/>
    <mergeCell ref="AT170:AX170"/>
    <mergeCell ref="AY170:BF170"/>
    <mergeCell ref="A171:V171"/>
    <mergeCell ref="W171:AB171"/>
    <mergeCell ref="AC171:AF171"/>
    <mergeCell ref="AG171:AJ171"/>
    <mergeCell ref="AK171:AO171"/>
    <mergeCell ref="AP171:AS171"/>
    <mergeCell ref="AT171:AX171"/>
    <mergeCell ref="AY171:BF171"/>
    <mergeCell ref="A172:V172"/>
    <mergeCell ref="W172:AB172"/>
    <mergeCell ref="AC172:AF172"/>
    <mergeCell ref="AG172:AJ172"/>
    <mergeCell ref="AK172:AO172"/>
    <mergeCell ref="AP172:AS172"/>
    <mergeCell ref="AT172:AX172"/>
    <mergeCell ref="AY172:BF172"/>
    <mergeCell ref="A173:V173"/>
    <mergeCell ref="W173:AB173"/>
    <mergeCell ref="AC173:AF173"/>
    <mergeCell ref="AG173:AJ173"/>
    <mergeCell ref="AK173:AO173"/>
    <mergeCell ref="AP173:AS173"/>
    <mergeCell ref="AT173:AX173"/>
    <mergeCell ref="AY173:BF173"/>
    <mergeCell ref="A174:V174"/>
    <mergeCell ref="W174:AB174"/>
    <mergeCell ref="AC174:AF174"/>
    <mergeCell ref="AG174:AJ174"/>
    <mergeCell ref="AK174:AO174"/>
    <mergeCell ref="AP174:AS174"/>
    <mergeCell ref="AT174:AX174"/>
    <mergeCell ref="AY174:BF174"/>
    <mergeCell ref="A175:V175"/>
    <mergeCell ref="W175:AB175"/>
    <mergeCell ref="AC175:AF175"/>
    <mergeCell ref="AG175:AJ175"/>
    <mergeCell ref="AK175:AO175"/>
    <mergeCell ref="AP175:AS175"/>
    <mergeCell ref="AT175:AX175"/>
    <mergeCell ref="AY175:BF175"/>
    <mergeCell ref="A176:V176"/>
    <mergeCell ref="W176:AB176"/>
    <mergeCell ref="AC176:AF176"/>
    <mergeCell ref="AG176:AJ176"/>
    <mergeCell ref="AK176:AO176"/>
    <mergeCell ref="AP176:AS176"/>
    <mergeCell ref="AT176:AX176"/>
    <mergeCell ref="AY176:BF176"/>
    <mergeCell ref="A177:V177"/>
    <mergeCell ref="W177:AB177"/>
    <mergeCell ref="AC177:AF177"/>
    <mergeCell ref="AG177:AJ177"/>
    <mergeCell ref="AK177:AO177"/>
    <mergeCell ref="AP177:AS177"/>
    <mergeCell ref="AT177:AX177"/>
    <mergeCell ref="AY177:BF177"/>
    <mergeCell ref="A178:V178"/>
    <mergeCell ref="W178:AB178"/>
    <mergeCell ref="AC178:AF178"/>
    <mergeCell ref="AG178:AJ178"/>
    <mergeCell ref="AK178:AO178"/>
    <mergeCell ref="AP178:AS178"/>
    <mergeCell ref="AT178:AX178"/>
    <mergeCell ref="AY178:BF178"/>
    <mergeCell ref="A179:V179"/>
    <mergeCell ref="W179:AB179"/>
    <mergeCell ref="AC179:AF179"/>
    <mergeCell ref="AG179:AJ179"/>
    <mergeCell ref="AK179:AO179"/>
    <mergeCell ref="AP179:AS179"/>
    <mergeCell ref="AT179:AX179"/>
    <mergeCell ref="AY179:BF179"/>
    <mergeCell ref="A180:V180"/>
    <mergeCell ref="W180:AB180"/>
    <mergeCell ref="AC180:AF180"/>
    <mergeCell ref="AG180:AJ180"/>
    <mergeCell ref="AK180:AO180"/>
    <mergeCell ref="AP180:AS180"/>
    <mergeCell ref="AT180:AX180"/>
    <mergeCell ref="AY180:BF180"/>
    <mergeCell ref="A181:V181"/>
    <mergeCell ref="W181:AB181"/>
    <mergeCell ref="AC181:AF181"/>
    <mergeCell ref="AG181:AJ181"/>
    <mergeCell ref="AK181:AO181"/>
    <mergeCell ref="AP181:AS181"/>
    <mergeCell ref="AT181:AX181"/>
    <mergeCell ref="AY181:BF181"/>
    <mergeCell ref="A182:V182"/>
    <mergeCell ref="W182:AB182"/>
    <mergeCell ref="AC182:AF182"/>
    <mergeCell ref="AG182:AJ182"/>
    <mergeCell ref="AK182:AO182"/>
    <mergeCell ref="AP182:AS182"/>
    <mergeCell ref="AT182:AX182"/>
    <mergeCell ref="AY182:BF182"/>
    <mergeCell ref="A183:V183"/>
    <mergeCell ref="W183:AB183"/>
    <mergeCell ref="AC183:AF183"/>
    <mergeCell ref="AG183:AJ183"/>
    <mergeCell ref="AK183:AO183"/>
    <mergeCell ref="AP183:AS183"/>
    <mergeCell ref="AT183:AX183"/>
    <mergeCell ref="AY183:BF183"/>
    <mergeCell ref="A184:V184"/>
    <mergeCell ref="W184:AB184"/>
    <mergeCell ref="AC184:AF184"/>
    <mergeCell ref="AG184:AJ184"/>
    <mergeCell ref="AK184:AO184"/>
    <mergeCell ref="AP184:AS184"/>
    <mergeCell ref="AT184:AX184"/>
    <mergeCell ref="AY184:BF184"/>
    <mergeCell ref="A185:V185"/>
    <mergeCell ref="W185:AB185"/>
    <mergeCell ref="AC185:AF185"/>
    <mergeCell ref="AG185:AJ185"/>
    <mergeCell ref="AK185:AO185"/>
    <mergeCell ref="AP185:AS185"/>
    <mergeCell ref="AT185:AX185"/>
    <mergeCell ref="AY185:BF185"/>
    <mergeCell ref="A186:V186"/>
    <mergeCell ref="W186:AB186"/>
    <mergeCell ref="AC186:AF186"/>
    <mergeCell ref="AG186:AJ186"/>
    <mergeCell ref="AK186:AO186"/>
    <mergeCell ref="AP186:AS186"/>
    <mergeCell ref="AT186:AX186"/>
    <mergeCell ref="AY186:BF186"/>
    <mergeCell ref="A187:V187"/>
    <mergeCell ref="W187:AB187"/>
    <mergeCell ref="AC187:AF187"/>
    <mergeCell ref="AG187:AJ187"/>
    <mergeCell ref="AK187:AO187"/>
    <mergeCell ref="AP187:AS187"/>
    <mergeCell ref="AT187:AX187"/>
    <mergeCell ref="AY187:BF187"/>
    <mergeCell ref="A188:V188"/>
    <mergeCell ref="W188:AB188"/>
    <mergeCell ref="AC188:AF188"/>
    <mergeCell ref="AG188:AJ188"/>
    <mergeCell ref="AK188:AO188"/>
    <mergeCell ref="AP188:AS188"/>
    <mergeCell ref="AT188:AX188"/>
    <mergeCell ref="AY188:BF188"/>
    <mergeCell ref="A189:V189"/>
    <mergeCell ref="W189:AB189"/>
    <mergeCell ref="AC189:AF189"/>
    <mergeCell ref="AG189:AJ189"/>
    <mergeCell ref="AK189:AO189"/>
    <mergeCell ref="AP189:AS189"/>
    <mergeCell ref="AT189:AX189"/>
    <mergeCell ref="AY189:BF189"/>
    <mergeCell ref="A190:V190"/>
    <mergeCell ref="W190:AB190"/>
    <mergeCell ref="AC190:AF190"/>
    <mergeCell ref="AG190:AJ190"/>
    <mergeCell ref="AK190:AO190"/>
    <mergeCell ref="AP190:AS190"/>
    <mergeCell ref="AT190:AX190"/>
    <mergeCell ref="AY190:BF190"/>
    <mergeCell ref="A191:V191"/>
    <mergeCell ref="W191:AB191"/>
    <mergeCell ref="AC191:AF191"/>
    <mergeCell ref="AG191:AJ191"/>
    <mergeCell ref="AK191:AO191"/>
    <mergeCell ref="AP191:AS191"/>
    <mergeCell ref="AT191:AX191"/>
    <mergeCell ref="AY191:BF191"/>
    <mergeCell ref="A195:V195"/>
    <mergeCell ref="W195:AB195"/>
    <mergeCell ref="AC195:AF195"/>
    <mergeCell ref="AG195:AJ195"/>
    <mergeCell ref="AK195:AO195"/>
    <mergeCell ref="AP195:AS195"/>
    <mergeCell ref="AT195:AX195"/>
    <mergeCell ref="AY195:BF195"/>
    <mergeCell ref="A192:V192"/>
    <mergeCell ref="W192:AB192"/>
    <mergeCell ref="AC192:AF192"/>
    <mergeCell ref="AG192:AJ192"/>
    <mergeCell ref="AK192:AO192"/>
    <mergeCell ref="AP192:AS192"/>
    <mergeCell ref="AT192:AX192"/>
    <mergeCell ref="AY192:BF192"/>
    <mergeCell ref="A193:V193"/>
    <mergeCell ref="W193:AB193"/>
    <mergeCell ref="AC193:AF193"/>
    <mergeCell ref="AG193:AJ193"/>
    <mergeCell ref="AK193:AO193"/>
    <mergeCell ref="AP193:AS193"/>
    <mergeCell ref="AT193:AX193"/>
    <mergeCell ref="AY193:BF193"/>
    <mergeCell ref="A194:V194"/>
    <mergeCell ref="W194:AB194"/>
    <mergeCell ref="AC194:AF194"/>
    <mergeCell ref="AG194:AJ194"/>
    <mergeCell ref="AK194:AO194"/>
    <mergeCell ref="AP194:AS194"/>
    <mergeCell ref="AT194:AX194"/>
    <mergeCell ref="AY194:BF194"/>
    <mergeCell ref="A68:V68"/>
    <mergeCell ref="W68:AB68"/>
    <mergeCell ref="AC68:AF68"/>
    <mergeCell ref="AG68:AJ68"/>
    <mergeCell ref="AK68:AO68"/>
    <mergeCell ref="AP68:AS68"/>
    <mergeCell ref="AT68:AX68"/>
    <mergeCell ref="AY68:BF68"/>
    <mergeCell ref="A69:V69"/>
    <mergeCell ref="W69:AB69"/>
    <mergeCell ref="AC69:AF69"/>
    <mergeCell ref="AG69:AJ69"/>
    <mergeCell ref="AK69:AO69"/>
    <mergeCell ref="AP69:AS69"/>
    <mergeCell ref="AT69:AX69"/>
    <mergeCell ref="AY69:BF69"/>
    <mergeCell ref="A70:V70"/>
    <mergeCell ref="W70:AB70"/>
    <mergeCell ref="AC70:AF70"/>
    <mergeCell ref="AG70:AJ70"/>
    <mergeCell ref="AK70:AO70"/>
    <mergeCell ref="AP70:AS70"/>
    <mergeCell ref="AT70:AX70"/>
    <mergeCell ref="AY70:BF70"/>
    <mergeCell ref="A138:V138"/>
    <mergeCell ref="W138:AB138"/>
    <mergeCell ref="AC138:AF138"/>
    <mergeCell ref="AG138:AJ138"/>
    <mergeCell ref="AK138:AO138"/>
    <mergeCell ref="AP138:AS138"/>
    <mergeCell ref="AT138:AX138"/>
    <mergeCell ref="AY138:BF138"/>
    <mergeCell ref="A139:V139"/>
    <mergeCell ref="W139:AB139"/>
    <mergeCell ref="AC139:AF139"/>
    <mergeCell ref="AG139:AJ139"/>
    <mergeCell ref="AK139:AO139"/>
    <mergeCell ref="AP139:AS139"/>
    <mergeCell ref="AT139:AX139"/>
    <mergeCell ref="AY139:BF139"/>
    <mergeCell ref="AP73:AS73"/>
    <mergeCell ref="AT73:AX73"/>
    <mergeCell ref="AY73:BF73"/>
    <mergeCell ref="A74:V74"/>
    <mergeCell ref="W74:AB74"/>
    <mergeCell ref="AC74:AF74"/>
    <mergeCell ref="AG74:AJ74"/>
    <mergeCell ref="AK74:AO74"/>
    <mergeCell ref="AP74:AS74"/>
    <mergeCell ref="AT74:AX74"/>
    <mergeCell ref="AY74:BF74"/>
    <mergeCell ref="A73:V73"/>
    <mergeCell ref="W73:AB73"/>
    <mergeCell ref="AC73:AF73"/>
    <mergeCell ref="AG73:AJ73"/>
    <mergeCell ref="AK73:AO73"/>
    <mergeCell ref="A143:V143"/>
    <mergeCell ref="W143:AB143"/>
    <mergeCell ref="AC143:AF143"/>
    <mergeCell ref="AG143:AJ143"/>
    <mergeCell ref="AK143:AO143"/>
    <mergeCell ref="AP143:AS143"/>
    <mergeCell ref="AT143:AX143"/>
    <mergeCell ref="AY143:BF143"/>
    <mergeCell ref="A140:V140"/>
    <mergeCell ref="W140:AB140"/>
    <mergeCell ref="AC140:AF140"/>
    <mergeCell ref="AG140:AJ140"/>
    <mergeCell ref="AK140:AO140"/>
    <mergeCell ref="AP140:AS140"/>
    <mergeCell ref="AT140:AX140"/>
    <mergeCell ref="AY140:BF140"/>
    <mergeCell ref="A141:V141"/>
    <mergeCell ref="W141:AB141"/>
    <mergeCell ref="AC141:AF141"/>
    <mergeCell ref="AG141:AJ141"/>
    <mergeCell ref="AK141:AO141"/>
    <mergeCell ref="AP141:AS141"/>
    <mergeCell ref="AT141:AX141"/>
    <mergeCell ref="AY141:BF141"/>
    <mergeCell ref="A142:V142"/>
    <mergeCell ref="W142:AB142"/>
    <mergeCell ref="AC142:AF142"/>
    <mergeCell ref="AG142:AJ142"/>
    <mergeCell ref="AK142:AO142"/>
    <mergeCell ref="AP142:AS142"/>
    <mergeCell ref="AT142:AX142"/>
    <mergeCell ref="AY142:BF142"/>
  </mergeCells>
  <printOptions horizontalCentered="1" verticalCentered="1"/>
  <pageMargins left="0.19685039370078741" right="0.19685039370078741" top="0.19685039370078741" bottom="0.59055118110236227" header="0.31496062992125984" footer="0.31496062992125984"/>
  <pageSetup paperSize="9" orientation="portrait" errors="blank" r:id="rId1"/>
  <headerFooter>
    <oddFooter>&amp;L&amp;"Times New Roman,Standard"&amp;9&amp;D&amp;R&amp;"Times New Roman,Standard"&amp;9&amp;A Seite &amp;P von &amp;N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tabColor rgb="FFFFC000"/>
    <pageSetUpPr fitToPage="1"/>
  </sheetPr>
  <dimension ref="A1:DL58"/>
  <sheetViews>
    <sheetView showGridLines="0" zoomScale="125" zoomScaleNormal="125" workbookViewId="0">
      <selection activeCell="A21" sqref="A21:BF21"/>
    </sheetView>
  </sheetViews>
  <sheetFormatPr baseColWidth="10" defaultColWidth="1.7109375" defaultRowHeight="15" customHeight="1" x14ac:dyDescent="0.2"/>
  <cols>
    <col min="1" max="30" width="1.7109375" style="31"/>
    <col min="31" max="50" width="1.7109375" style="32" customWidth="1"/>
    <col min="51" max="16384" width="1.7109375" style="31"/>
  </cols>
  <sheetData>
    <row r="1" spans="1:116" s="321" customFormat="1" ht="15" customHeight="1" thickTop="1" x14ac:dyDescent="0.2">
      <c r="AH1" s="1169" t="s">
        <v>181</v>
      </c>
      <c r="AI1" s="1170"/>
      <c r="AJ1" s="1170"/>
      <c r="AK1" s="1170"/>
      <c r="AL1" s="1170"/>
      <c r="AM1" s="1171" t="str">
        <f>IF(ISBLANK(Name),"",Name)</f>
        <v/>
      </c>
      <c r="AN1" s="1171"/>
      <c r="AO1" s="1171"/>
      <c r="AP1" s="1171"/>
      <c r="AQ1" s="1171"/>
      <c r="AR1" s="1171"/>
      <c r="AS1" s="1171"/>
      <c r="AT1" s="1171"/>
      <c r="AU1" s="1171"/>
      <c r="AV1" s="1171"/>
      <c r="AW1" s="1171"/>
      <c r="AX1" s="1171"/>
      <c r="AY1" s="1171"/>
      <c r="AZ1" s="1171"/>
      <c r="BA1" s="1171"/>
      <c r="BB1" s="1171"/>
      <c r="BC1" s="1171"/>
      <c r="BD1" s="1171"/>
      <c r="BE1" s="1171"/>
      <c r="BF1" s="1172"/>
      <c r="CT1" s="157"/>
    </row>
    <row r="2" spans="1:116" ht="15" customHeight="1" x14ac:dyDescent="0.2">
      <c r="AH2" s="1180" t="s">
        <v>0</v>
      </c>
      <c r="AI2" s="1181"/>
      <c r="AJ2" s="1181"/>
      <c r="AK2" s="1181"/>
      <c r="AL2" s="1181"/>
      <c r="AM2" s="1178" t="str">
        <f>IF(ISBLANK(Typ),"",Typvoll)</f>
        <v/>
      </c>
      <c r="AN2" s="1178"/>
      <c r="AO2" s="1178"/>
      <c r="AP2" s="1178"/>
      <c r="AQ2" s="1178"/>
      <c r="AR2" s="1178"/>
      <c r="AS2" s="1178"/>
      <c r="AT2" s="1178"/>
      <c r="AU2" s="1178"/>
      <c r="AV2" s="1178"/>
      <c r="AW2" s="1178"/>
      <c r="AX2" s="1178"/>
      <c r="AY2" s="1178"/>
      <c r="AZ2" s="1178"/>
      <c r="BA2" s="1178"/>
      <c r="BB2" s="1178"/>
      <c r="BC2" s="1178"/>
      <c r="BD2" s="1178"/>
      <c r="BE2" s="1178"/>
      <c r="BF2" s="1179"/>
      <c r="CA2" s="322"/>
      <c r="CB2" s="322"/>
      <c r="CC2" s="322"/>
      <c r="CD2" s="322"/>
      <c r="CE2" s="322"/>
      <c r="CF2" s="322"/>
      <c r="CG2" s="322"/>
      <c r="CH2" s="322"/>
      <c r="CI2" s="322"/>
      <c r="CJ2" s="322"/>
      <c r="CK2" s="323"/>
      <c r="CL2" s="323"/>
      <c r="CM2" s="323"/>
      <c r="CN2" s="323"/>
      <c r="CO2" s="323"/>
      <c r="CP2" s="323"/>
      <c r="CQ2" s="323"/>
      <c r="CR2" s="323"/>
      <c r="CS2" s="323"/>
      <c r="CT2" s="323"/>
      <c r="CU2" s="323"/>
      <c r="CV2" s="323"/>
      <c r="CW2" s="323"/>
      <c r="CX2" s="323"/>
      <c r="CY2" s="323"/>
      <c r="CZ2" s="323"/>
      <c r="DA2" s="323"/>
      <c r="DB2" s="323"/>
      <c r="DC2" s="323"/>
      <c r="DD2" s="323"/>
      <c r="DE2" s="322"/>
      <c r="DF2" s="322"/>
      <c r="DG2" s="322"/>
      <c r="DH2" s="322"/>
      <c r="DI2" s="322"/>
      <c r="DJ2" s="322"/>
      <c r="DK2" s="322"/>
      <c r="DL2" s="322"/>
    </row>
    <row r="3" spans="1:116" ht="15" customHeight="1" thickBot="1" x14ac:dyDescent="0.25">
      <c r="AH3" s="1221" t="s">
        <v>2</v>
      </c>
      <c r="AI3" s="1222"/>
      <c r="AJ3" s="1222"/>
      <c r="AK3" s="1222"/>
      <c r="AL3" s="1222"/>
      <c r="AM3" s="1173" t="str">
        <f>IF(ISBLANK(Spieler),"",Spieler)</f>
        <v/>
      </c>
      <c r="AN3" s="1173"/>
      <c r="AO3" s="1173"/>
      <c r="AP3" s="1173"/>
      <c r="AQ3" s="1173"/>
      <c r="AR3" s="1173"/>
      <c r="AS3" s="1173"/>
      <c r="AT3" s="1173"/>
      <c r="AU3" s="1173"/>
      <c r="AV3" s="1173"/>
      <c r="AW3" s="1173"/>
      <c r="AX3" s="1173"/>
      <c r="AY3" s="1173"/>
      <c r="AZ3" s="1173"/>
      <c r="BA3" s="1173"/>
      <c r="BB3" s="1173"/>
      <c r="BC3" s="1173"/>
      <c r="BD3" s="1173"/>
      <c r="BE3" s="1173"/>
      <c r="BF3" s="1174"/>
    </row>
    <row r="4" spans="1:116" ht="4.5" customHeight="1" thickTop="1" x14ac:dyDescent="0.2"/>
    <row r="5" spans="1:116" ht="15" customHeight="1" x14ac:dyDescent="0.2">
      <c r="A5" s="1175" t="s">
        <v>1113</v>
      </c>
      <c r="B5" s="1176"/>
      <c r="C5" s="1176"/>
      <c r="D5" s="1176"/>
      <c r="E5" s="1176"/>
      <c r="F5" s="1176"/>
      <c r="G5" s="1176"/>
      <c r="H5" s="1176"/>
      <c r="I5" s="1176"/>
      <c r="J5" s="1176"/>
      <c r="K5" s="1176"/>
      <c r="L5" s="1176"/>
      <c r="M5" s="1176"/>
      <c r="N5" s="1176"/>
      <c r="O5" s="1176"/>
      <c r="P5" s="1176"/>
      <c r="Q5" s="1176"/>
      <c r="R5" s="1176"/>
      <c r="S5" s="1176"/>
      <c r="T5" s="1176"/>
      <c r="U5" s="1176"/>
      <c r="V5" s="1176"/>
      <c r="W5" s="1176"/>
      <c r="X5" s="1176"/>
      <c r="Y5" s="1176"/>
      <c r="Z5" s="1176"/>
      <c r="AA5" s="1176"/>
      <c r="AB5" s="1176"/>
      <c r="AC5" s="1176"/>
      <c r="AD5" s="1176"/>
      <c r="AE5" s="1176"/>
      <c r="AF5" s="1176"/>
      <c r="AG5" s="1176"/>
      <c r="AH5" s="1176"/>
      <c r="AI5" s="1176"/>
      <c r="AJ5" s="1176"/>
      <c r="AK5" s="1176"/>
      <c r="AL5" s="1176"/>
      <c r="AM5" s="1176"/>
      <c r="AN5" s="1176"/>
      <c r="AO5" s="1176"/>
      <c r="AP5" s="1176"/>
      <c r="AQ5" s="1176"/>
      <c r="AR5" s="1176"/>
      <c r="AS5" s="1176"/>
      <c r="AT5" s="1176"/>
      <c r="AU5" s="1176"/>
      <c r="AV5" s="1176"/>
      <c r="AW5" s="1176"/>
      <c r="AX5" s="1176"/>
      <c r="AY5" s="1176"/>
      <c r="AZ5" s="1176"/>
      <c r="BA5" s="1176"/>
      <c r="BB5" s="1176"/>
      <c r="BC5" s="1176"/>
      <c r="BD5" s="1176"/>
      <c r="BE5" s="1176"/>
      <c r="BF5" s="1177"/>
    </row>
    <row r="6" spans="1:116" ht="4.5" customHeight="1" thickBot="1" x14ac:dyDescent="0.25"/>
    <row r="7" spans="1:116" ht="15" customHeight="1" thickTop="1" x14ac:dyDescent="0.2">
      <c r="A7" s="1223" t="s">
        <v>19</v>
      </c>
      <c r="B7" s="1224"/>
      <c r="C7" s="1228"/>
      <c r="D7" s="1218"/>
      <c r="E7" s="1218"/>
      <c r="F7" s="1218"/>
      <c r="G7" s="1218"/>
      <c r="H7" s="1218"/>
      <c r="I7" s="1218"/>
      <c r="J7" s="1218"/>
      <c r="K7" s="1218"/>
      <c r="L7" s="1218"/>
      <c r="M7" s="1218"/>
      <c r="N7" s="1218"/>
      <c r="O7" s="1218"/>
      <c r="P7" s="1218"/>
      <c r="Q7" s="1218"/>
      <c r="R7" s="1218"/>
      <c r="S7" s="1218"/>
      <c r="T7" s="1218"/>
      <c r="U7" s="1218"/>
      <c r="V7" s="1218"/>
      <c r="W7" s="1218"/>
      <c r="X7" s="1218"/>
      <c r="Y7" s="1218"/>
      <c r="Z7" s="1218"/>
      <c r="AA7" s="1218"/>
      <c r="AB7" s="1218"/>
      <c r="AC7" s="1218"/>
      <c r="AD7" s="1218"/>
      <c r="AE7" s="1220"/>
      <c r="AF7" s="1220"/>
      <c r="AG7" s="1220"/>
      <c r="AH7" s="1220"/>
      <c r="AI7" s="1220"/>
      <c r="AJ7" s="1220"/>
      <c r="AK7" s="1220"/>
      <c r="AL7" s="1220"/>
      <c r="AM7" s="1220"/>
      <c r="AN7" s="1220"/>
      <c r="AO7" s="1220"/>
      <c r="AP7" s="1220"/>
      <c r="AQ7" s="1220"/>
      <c r="AR7" s="1220"/>
      <c r="AS7" s="1220"/>
      <c r="AT7" s="1220"/>
      <c r="AU7" s="1220"/>
      <c r="AV7" s="1220"/>
      <c r="AW7" s="1220"/>
      <c r="AX7" s="1220"/>
      <c r="AY7" s="1218"/>
      <c r="AZ7" s="1218"/>
      <c r="BA7" s="1218"/>
      <c r="BB7" s="1218"/>
      <c r="BC7" s="1218"/>
      <c r="BD7" s="1218"/>
      <c r="BE7" s="1218"/>
      <c r="BF7" s="1219"/>
    </row>
    <row r="8" spans="1:116" ht="15" customHeight="1" thickBot="1" x14ac:dyDescent="0.25">
      <c r="A8" s="1225" t="str">
        <f>+LP</f>
        <v/>
      </c>
      <c r="B8" s="1226"/>
      <c r="C8" s="1227"/>
      <c r="D8" s="1215"/>
      <c r="E8" s="1215"/>
      <c r="F8" s="1215"/>
      <c r="G8" s="1215"/>
      <c r="H8" s="1215"/>
      <c r="I8" s="1215"/>
      <c r="J8" s="1215"/>
      <c r="K8" s="1215"/>
      <c r="L8" s="1215"/>
      <c r="M8" s="1215"/>
      <c r="N8" s="1215"/>
      <c r="O8" s="1215"/>
      <c r="P8" s="1215"/>
      <c r="Q8" s="1215"/>
      <c r="R8" s="1215"/>
      <c r="S8" s="1215"/>
      <c r="T8" s="1215"/>
      <c r="U8" s="1215"/>
      <c r="V8" s="1215"/>
      <c r="W8" s="1215"/>
      <c r="X8" s="1215"/>
      <c r="Y8" s="1215"/>
      <c r="Z8" s="1215"/>
      <c r="AA8" s="1215"/>
      <c r="AB8" s="1215"/>
      <c r="AC8" s="1215"/>
      <c r="AD8" s="1215"/>
      <c r="AE8" s="1217"/>
      <c r="AF8" s="1217"/>
      <c r="AG8" s="1217"/>
      <c r="AH8" s="1217"/>
      <c r="AI8" s="1217"/>
      <c r="AJ8" s="1217"/>
      <c r="AK8" s="1217"/>
      <c r="AL8" s="1217"/>
      <c r="AM8" s="1217"/>
      <c r="AN8" s="1217"/>
      <c r="AO8" s="1217"/>
      <c r="AP8" s="1217"/>
      <c r="AQ8" s="1217"/>
      <c r="AR8" s="1217"/>
      <c r="AS8" s="1217"/>
      <c r="AT8" s="1217"/>
      <c r="AU8" s="1217"/>
      <c r="AV8" s="1217"/>
      <c r="AW8" s="1217"/>
      <c r="AX8" s="1217"/>
      <c r="AY8" s="1215"/>
      <c r="AZ8" s="1215"/>
      <c r="BA8" s="1215"/>
      <c r="BB8" s="1215"/>
      <c r="BC8" s="1215"/>
      <c r="BD8" s="1215"/>
      <c r="BE8" s="1215"/>
      <c r="BF8" s="1216"/>
    </row>
    <row r="9" spans="1:116" ht="4.5" customHeight="1" thickBot="1" x14ac:dyDescent="0.25">
      <c r="A9" s="324"/>
      <c r="B9" s="324"/>
      <c r="C9" s="324"/>
      <c r="D9" s="324"/>
      <c r="E9" s="324"/>
      <c r="F9" s="324"/>
      <c r="G9" s="324"/>
      <c r="H9" s="324"/>
      <c r="I9" s="324"/>
      <c r="J9" s="324"/>
      <c r="K9" s="324"/>
      <c r="L9" s="324"/>
      <c r="M9" s="324"/>
      <c r="N9" s="324"/>
      <c r="O9" s="324"/>
      <c r="P9" s="324"/>
      <c r="Q9" s="324"/>
      <c r="R9" s="324"/>
      <c r="S9" s="324"/>
      <c r="T9" s="324"/>
      <c r="U9" s="324"/>
      <c r="V9" s="324"/>
      <c r="W9" s="324"/>
      <c r="X9" s="324"/>
      <c r="Y9" s="324"/>
      <c r="Z9" s="324"/>
      <c r="AA9" s="324"/>
      <c r="AB9" s="324"/>
      <c r="AC9" s="324"/>
      <c r="AD9" s="324"/>
      <c r="AE9" s="325"/>
      <c r="AF9" s="325"/>
      <c r="AG9" s="325"/>
      <c r="AH9" s="325"/>
      <c r="AI9" s="325"/>
      <c r="AJ9" s="325"/>
      <c r="AK9" s="325"/>
      <c r="AL9" s="325"/>
      <c r="AM9" s="325"/>
      <c r="AN9" s="325"/>
      <c r="AO9" s="325"/>
      <c r="AP9" s="325"/>
      <c r="AQ9" s="325"/>
      <c r="AR9" s="325"/>
      <c r="AS9" s="325"/>
      <c r="AT9" s="325"/>
      <c r="AU9" s="325"/>
      <c r="AV9" s="325"/>
      <c r="AW9" s="325"/>
      <c r="AX9" s="325"/>
      <c r="AY9" s="324"/>
      <c r="AZ9" s="324"/>
      <c r="BA9" s="324"/>
      <c r="BB9" s="324"/>
      <c r="BC9" s="324"/>
      <c r="BD9" s="324"/>
      <c r="BE9" s="324"/>
      <c r="BF9" s="324"/>
    </row>
    <row r="10" spans="1:116" ht="15" customHeight="1" x14ac:dyDescent="0.2">
      <c r="A10" s="1209" t="s">
        <v>27</v>
      </c>
      <c r="B10" s="1210"/>
      <c r="C10" s="1213"/>
      <c r="D10" s="1206"/>
      <c r="E10" s="1206"/>
      <c r="F10" s="1206"/>
      <c r="G10" s="1206"/>
      <c r="H10" s="1206"/>
      <c r="I10" s="1206"/>
      <c r="J10" s="1206"/>
      <c r="K10" s="1206"/>
      <c r="L10" s="1206"/>
      <c r="M10" s="1206"/>
      <c r="N10" s="1206"/>
      <c r="O10" s="1206"/>
      <c r="P10" s="1206"/>
      <c r="Q10" s="1206"/>
      <c r="R10" s="1206"/>
      <c r="S10" s="1206"/>
      <c r="T10" s="1206"/>
      <c r="U10" s="1206"/>
      <c r="V10" s="1206"/>
      <c r="W10" s="1206"/>
      <c r="X10" s="1206"/>
      <c r="Y10" s="1206"/>
      <c r="Z10" s="1206"/>
      <c r="AA10" s="1206"/>
      <c r="AB10" s="1206"/>
      <c r="AC10" s="1206"/>
      <c r="AD10" s="1206"/>
      <c r="AE10" s="1208"/>
      <c r="AF10" s="1208"/>
      <c r="AG10" s="1208"/>
      <c r="AH10" s="1208"/>
      <c r="AI10" s="1208"/>
      <c r="AJ10" s="1208"/>
      <c r="AK10" s="1208"/>
      <c r="AL10" s="1208"/>
      <c r="AM10" s="1208"/>
      <c r="AN10" s="1208"/>
      <c r="AO10" s="1208"/>
      <c r="AP10" s="1208"/>
      <c r="AQ10" s="1208"/>
      <c r="AR10" s="1208"/>
      <c r="AS10" s="1208"/>
      <c r="AT10" s="1208"/>
      <c r="AU10" s="1208"/>
      <c r="AV10" s="1208"/>
      <c r="AW10" s="1208"/>
      <c r="AX10" s="1208"/>
      <c r="AY10" s="1206"/>
      <c r="AZ10" s="1206"/>
      <c r="BA10" s="1206"/>
      <c r="BB10" s="1206"/>
      <c r="BC10" s="1206"/>
      <c r="BD10" s="1206"/>
      <c r="BE10" s="1206"/>
      <c r="BF10" s="1207"/>
    </row>
    <row r="11" spans="1:116" ht="15" customHeight="1" thickBot="1" x14ac:dyDescent="0.25">
      <c r="A11" s="1211" t="str">
        <f>+AP</f>
        <v/>
      </c>
      <c r="B11" s="1212"/>
      <c r="C11" s="1214"/>
      <c r="D11" s="1203"/>
      <c r="E11" s="1203"/>
      <c r="F11" s="1203"/>
      <c r="G11" s="1203"/>
      <c r="H11" s="1203"/>
      <c r="I11" s="1203"/>
      <c r="J11" s="1203"/>
      <c r="K11" s="1203"/>
      <c r="L11" s="1203"/>
      <c r="M11" s="1203"/>
      <c r="N11" s="1203"/>
      <c r="O11" s="1203"/>
      <c r="P11" s="1203"/>
      <c r="Q11" s="1203"/>
      <c r="R11" s="1203"/>
      <c r="S11" s="1203"/>
      <c r="T11" s="1203"/>
      <c r="U11" s="1203"/>
      <c r="V11" s="1203"/>
      <c r="W11" s="1203"/>
      <c r="X11" s="1203"/>
      <c r="Y11" s="1203"/>
      <c r="Z11" s="1203"/>
      <c r="AA11" s="1203"/>
      <c r="AB11" s="1203"/>
      <c r="AC11" s="1203"/>
      <c r="AD11" s="1203"/>
      <c r="AE11" s="1205"/>
      <c r="AF11" s="1205"/>
      <c r="AG11" s="1205"/>
      <c r="AH11" s="1205"/>
      <c r="AI11" s="1205"/>
      <c r="AJ11" s="1205"/>
      <c r="AK11" s="1205"/>
      <c r="AL11" s="1205"/>
      <c r="AM11" s="1205"/>
      <c r="AN11" s="1205"/>
      <c r="AO11" s="1205"/>
      <c r="AP11" s="1205"/>
      <c r="AQ11" s="1205"/>
      <c r="AR11" s="1205"/>
      <c r="AS11" s="1205"/>
      <c r="AT11" s="1205"/>
      <c r="AU11" s="1205"/>
      <c r="AV11" s="1205"/>
      <c r="AW11" s="1205"/>
      <c r="AX11" s="1205"/>
      <c r="AY11" s="1203"/>
      <c r="AZ11" s="1203"/>
      <c r="BA11" s="1203"/>
      <c r="BB11" s="1203"/>
      <c r="BC11" s="1203"/>
      <c r="BD11" s="1203"/>
      <c r="BE11" s="1203"/>
      <c r="BF11" s="1204"/>
    </row>
    <row r="12" spans="1:116" ht="4.5" customHeight="1" thickTop="1" thickBot="1" x14ac:dyDescent="0.25"/>
    <row r="13" spans="1:116" ht="15" customHeight="1" thickTop="1" thickBot="1" x14ac:dyDescent="0.25">
      <c r="A13" s="1198" t="s">
        <v>166</v>
      </c>
      <c r="B13" s="1199"/>
      <c r="C13" s="1199"/>
      <c r="D13" s="1199"/>
      <c r="E13" s="1199"/>
      <c r="F13" s="1199"/>
      <c r="G13" s="1199"/>
      <c r="H13" s="1199"/>
      <c r="I13" s="1199"/>
      <c r="J13" s="1199"/>
      <c r="K13" s="1199"/>
      <c r="L13" s="1199"/>
      <c r="M13" s="1199"/>
      <c r="N13" s="1196" t="s">
        <v>1112</v>
      </c>
      <c r="O13" s="1196"/>
      <c r="P13" s="1196"/>
      <c r="Q13" s="1196"/>
      <c r="R13" s="1196"/>
      <c r="S13" s="1196"/>
      <c r="T13" s="1196"/>
      <c r="U13" s="1196"/>
      <c r="V13" s="1196"/>
      <c r="W13" s="1196"/>
      <c r="X13" s="1196"/>
      <c r="Y13" s="1196"/>
      <c r="Z13" s="1196"/>
      <c r="AA13" s="1196"/>
      <c r="AB13" s="1196"/>
      <c r="AC13" s="1195" t="s">
        <v>173</v>
      </c>
      <c r="AD13" s="1195"/>
      <c r="AE13" s="1195"/>
      <c r="AF13" s="1195"/>
      <c r="AG13" s="1195"/>
      <c r="AH13" s="1195"/>
      <c r="AI13" s="1195" t="s">
        <v>1111</v>
      </c>
      <c r="AJ13" s="1195"/>
      <c r="AK13" s="1195"/>
      <c r="AL13" s="1195"/>
      <c r="AM13" s="1195"/>
      <c r="AN13" s="1195"/>
      <c r="AO13" s="1195"/>
      <c r="AP13" s="1195"/>
      <c r="AQ13" s="1195"/>
      <c r="AR13" s="1195"/>
      <c r="AS13" s="1195"/>
      <c r="AT13" s="1195"/>
      <c r="AU13" s="1195"/>
      <c r="AV13" s="1195"/>
      <c r="AW13" s="1195"/>
      <c r="AX13" s="1195"/>
      <c r="AY13" s="1195"/>
      <c r="AZ13" s="1195"/>
      <c r="BA13" s="1195"/>
      <c r="BB13" s="1195"/>
      <c r="BC13" s="1195"/>
      <c r="BD13" s="1195"/>
      <c r="BE13" s="1195"/>
      <c r="BF13" s="1197"/>
    </row>
    <row r="14" spans="1:116" ht="15" customHeight="1" x14ac:dyDescent="0.2">
      <c r="A14" s="1188"/>
      <c r="B14" s="1189"/>
      <c r="C14" s="1189"/>
      <c r="D14" s="1189"/>
      <c r="E14" s="1189"/>
      <c r="F14" s="1189"/>
      <c r="G14" s="1189"/>
      <c r="H14" s="1189"/>
      <c r="I14" s="1189"/>
      <c r="J14" s="1189"/>
      <c r="K14" s="1189"/>
      <c r="L14" s="1189"/>
      <c r="M14" s="1189"/>
      <c r="N14" s="1149"/>
      <c r="O14" s="1149"/>
      <c r="P14" s="1149"/>
      <c r="Q14" s="1149"/>
      <c r="R14" s="1149"/>
      <c r="S14" s="1149"/>
      <c r="T14" s="1149"/>
      <c r="U14" s="1149"/>
      <c r="V14" s="1149"/>
      <c r="W14" s="1149"/>
      <c r="X14" s="1149"/>
      <c r="Y14" s="1149"/>
      <c r="Z14" s="1149"/>
      <c r="AA14" s="1149"/>
      <c r="AB14" s="1149"/>
      <c r="AC14" s="1190" t="str">
        <f>IF(ISBLANK(A14),"",VLOOKUP(A14,Zauberliste,9,FALSE))</f>
        <v/>
      </c>
      <c r="AD14" s="1190"/>
      <c r="AE14" s="1190"/>
      <c r="AF14" s="1190"/>
      <c r="AG14" s="1190"/>
      <c r="AH14" s="1190"/>
      <c r="AI14" s="1185"/>
      <c r="AJ14" s="1186"/>
      <c r="AK14" s="1185"/>
      <c r="AL14" s="1186"/>
      <c r="AM14" s="1185"/>
      <c r="AN14" s="1186"/>
      <c r="AO14" s="1185"/>
      <c r="AP14" s="1186"/>
      <c r="AQ14" s="1185"/>
      <c r="AR14" s="1186"/>
      <c r="AS14" s="1202"/>
      <c r="AT14" s="1200"/>
      <c r="AU14" s="1200"/>
      <c r="AV14" s="1201"/>
      <c r="AW14" s="1185"/>
      <c r="AX14" s="1186"/>
      <c r="AY14" s="1185"/>
      <c r="AZ14" s="1186"/>
      <c r="BA14" s="1185"/>
      <c r="BB14" s="1186"/>
      <c r="BC14" s="1185"/>
      <c r="BD14" s="1186"/>
      <c r="BE14" s="1185"/>
      <c r="BF14" s="1187"/>
    </row>
    <row r="15" spans="1:116" ht="15" customHeight="1" x14ac:dyDescent="0.2">
      <c r="A15" s="1188"/>
      <c r="B15" s="1189"/>
      <c r="C15" s="1189"/>
      <c r="D15" s="1189"/>
      <c r="E15" s="1189"/>
      <c r="F15" s="1189"/>
      <c r="G15" s="1189"/>
      <c r="H15" s="1189"/>
      <c r="I15" s="1189"/>
      <c r="J15" s="1189"/>
      <c r="K15" s="1189"/>
      <c r="L15" s="1189"/>
      <c r="M15" s="1189"/>
      <c r="N15" s="1149"/>
      <c r="O15" s="1149"/>
      <c r="P15" s="1149"/>
      <c r="Q15" s="1149"/>
      <c r="R15" s="1149"/>
      <c r="S15" s="1149"/>
      <c r="T15" s="1149"/>
      <c r="U15" s="1149"/>
      <c r="V15" s="1149"/>
      <c r="W15" s="1149"/>
      <c r="X15" s="1149"/>
      <c r="Y15" s="1149"/>
      <c r="Z15" s="1149"/>
      <c r="AA15" s="1149"/>
      <c r="AB15" s="1149"/>
      <c r="AC15" s="1190" t="str">
        <f>IF(ISBLANK(A15),"",VLOOKUP(A15,Zauberliste,9,FALSE))</f>
        <v/>
      </c>
      <c r="AD15" s="1190"/>
      <c r="AE15" s="1190"/>
      <c r="AF15" s="1190"/>
      <c r="AG15" s="1190"/>
      <c r="AH15" s="1190"/>
      <c r="AI15" s="1185"/>
      <c r="AJ15" s="1186"/>
      <c r="AK15" s="1185"/>
      <c r="AL15" s="1186"/>
      <c r="AM15" s="1185"/>
      <c r="AN15" s="1186"/>
      <c r="AO15" s="1185"/>
      <c r="AP15" s="1186"/>
      <c r="AQ15" s="1185"/>
      <c r="AR15" s="1186"/>
      <c r="AS15" s="1182"/>
      <c r="AT15" s="1183"/>
      <c r="AU15" s="1183"/>
      <c r="AV15" s="1184"/>
      <c r="AW15" s="1185"/>
      <c r="AX15" s="1186"/>
      <c r="AY15" s="1185"/>
      <c r="AZ15" s="1186"/>
      <c r="BA15" s="1185"/>
      <c r="BB15" s="1186"/>
      <c r="BC15" s="1185"/>
      <c r="BD15" s="1186"/>
      <c r="BE15" s="1185"/>
      <c r="BF15" s="1187"/>
    </row>
    <row r="16" spans="1:116" ht="15" customHeight="1" x14ac:dyDescent="0.2">
      <c r="A16" s="1188"/>
      <c r="B16" s="1189"/>
      <c r="C16" s="1189"/>
      <c r="D16" s="1189"/>
      <c r="E16" s="1189"/>
      <c r="F16" s="1189"/>
      <c r="G16" s="1189"/>
      <c r="H16" s="1189"/>
      <c r="I16" s="1189"/>
      <c r="J16" s="1189"/>
      <c r="K16" s="1189"/>
      <c r="L16" s="1189"/>
      <c r="M16" s="1189"/>
      <c r="N16" s="1149"/>
      <c r="O16" s="1149"/>
      <c r="P16" s="1149"/>
      <c r="Q16" s="1149"/>
      <c r="R16" s="1149"/>
      <c r="S16" s="1149"/>
      <c r="T16" s="1149"/>
      <c r="U16" s="1149"/>
      <c r="V16" s="1149"/>
      <c r="W16" s="1149"/>
      <c r="X16" s="1149"/>
      <c r="Y16" s="1149"/>
      <c r="Z16" s="1149"/>
      <c r="AA16" s="1149"/>
      <c r="AB16" s="1149"/>
      <c r="AC16" s="1190" t="str">
        <f>IF(ISBLANK(A16),"",VLOOKUP(A16,Zauberliste,9,FALSE))</f>
        <v/>
      </c>
      <c r="AD16" s="1190"/>
      <c r="AE16" s="1190"/>
      <c r="AF16" s="1190"/>
      <c r="AG16" s="1190"/>
      <c r="AH16" s="1190"/>
      <c r="AI16" s="1185"/>
      <c r="AJ16" s="1186"/>
      <c r="AK16" s="1185"/>
      <c r="AL16" s="1186"/>
      <c r="AM16" s="1185"/>
      <c r="AN16" s="1186"/>
      <c r="AO16" s="1185"/>
      <c r="AP16" s="1186"/>
      <c r="AQ16" s="1185"/>
      <c r="AR16" s="1186"/>
      <c r="AS16" s="1182"/>
      <c r="AT16" s="1183"/>
      <c r="AU16" s="1183"/>
      <c r="AV16" s="1184"/>
      <c r="AW16" s="1185"/>
      <c r="AX16" s="1186"/>
      <c r="AY16" s="1185"/>
      <c r="AZ16" s="1186"/>
      <c r="BA16" s="1185"/>
      <c r="BB16" s="1186"/>
      <c r="BC16" s="1185"/>
      <c r="BD16" s="1186"/>
      <c r="BE16" s="1185"/>
      <c r="BF16" s="1187"/>
    </row>
    <row r="17" spans="1:58" ht="15" customHeight="1" x14ac:dyDescent="0.2">
      <c r="A17" s="1188"/>
      <c r="B17" s="1189"/>
      <c r="C17" s="1189"/>
      <c r="D17" s="1189"/>
      <c r="E17" s="1189"/>
      <c r="F17" s="1189"/>
      <c r="G17" s="1189"/>
      <c r="H17" s="1189"/>
      <c r="I17" s="1189"/>
      <c r="J17" s="1189"/>
      <c r="K17" s="1189"/>
      <c r="L17" s="1189"/>
      <c r="M17" s="1189"/>
      <c r="N17" s="1149"/>
      <c r="O17" s="1149"/>
      <c r="P17" s="1149"/>
      <c r="Q17" s="1149"/>
      <c r="R17" s="1149"/>
      <c r="S17" s="1149"/>
      <c r="T17" s="1149"/>
      <c r="U17" s="1149"/>
      <c r="V17" s="1149"/>
      <c r="W17" s="1149"/>
      <c r="X17" s="1149"/>
      <c r="Y17" s="1149"/>
      <c r="Z17" s="1149"/>
      <c r="AA17" s="1149"/>
      <c r="AB17" s="1149"/>
      <c r="AC17" s="1190" t="str">
        <f>IF(ISBLANK(A17),"",VLOOKUP(A17,Zauberliste,9,FALSE))</f>
        <v/>
      </c>
      <c r="AD17" s="1190"/>
      <c r="AE17" s="1190"/>
      <c r="AF17" s="1190"/>
      <c r="AG17" s="1190"/>
      <c r="AH17" s="1190"/>
      <c r="AI17" s="1185"/>
      <c r="AJ17" s="1186"/>
      <c r="AK17" s="1185"/>
      <c r="AL17" s="1186"/>
      <c r="AM17" s="1185"/>
      <c r="AN17" s="1186"/>
      <c r="AO17" s="1185"/>
      <c r="AP17" s="1186"/>
      <c r="AQ17" s="1185"/>
      <c r="AR17" s="1186"/>
      <c r="AS17" s="1182"/>
      <c r="AT17" s="1183"/>
      <c r="AU17" s="1183"/>
      <c r="AV17" s="1184"/>
      <c r="AW17" s="1185"/>
      <c r="AX17" s="1186"/>
      <c r="AY17" s="1185"/>
      <c r="AZ17" s="1186"/>
      <c r="BA17" s="1185"/>
      <c r="BB17" s="1186"/>
      <c r="BC17" s="1185"/>
      <c r="BD17" s="1186"/>
      <c r="BE17" s="1185"/>
      <c r="BF17" s="1187"/>
    </row>
    <row r="18" spans="1:58" ht="15" customHeight="1" thickBot="1" x14ac:dyDescent="0.25">
      <c r="A18" s="1191"/>
      <c r="B18" s="1192"/>
      <c r="C18" s="1192"/>
      <c r="D18" s="1192"/>
      <c r="E18" s="1192"/>
      <c r="F18" s="1192"/>
      <c r="G18" s="1192"/>
      <c r="H18" s="1192"/>
      <c r="I18" s="1192"/>
      <c r="J18" s="1192"/>
      <c r="K18" s="1192"/>
      <c r="L18" s="1192"/>
      <c r="M18" s="1192"/>
      <c r="N18" s="1193"/>
      <c r="O18" s="1193"/>
      <c r="P18" s="1193"/>
      <c r="Q18" s="1193"/>
      <c r="R18" s="1193"/>
      <c r="S18" s="1193"/>
      <c r="T18" s="1193"/>
      <c r="U18" s="1193"/>
      <c r="V18" s="1193"/>
      <c r="W18" s="1193"/>
      <c r="X18" s="1193"/>
      <c r="Y18" s="1193"/>
      <c r="Z18" s="1193"/>
      <c r="AA18" s="1193"/>
      <c r="AB18" s="1193"/>
      <c r="AC18" s="1194" t="str">
        <f>IF(ISBLANK(A18),"",VLOOKUP(A18,Zauberliste,9,FALSE))</f>
        <v/>
      </c>
      <c r="AD18" s="1194"/>
      <c r="AE18" s="1194"/>
      <c r="AF18" s="1194"/>
      <c r="AG18" s="1194"/>
      <c r="AH18" s="1194"/>
      <c r="AI18" s="1160"/>
      <c r="AJ18" s="1168"/>
      <c r="AK18" s="1160"/>
      <c r="AL18" s="1168"/>
      <c r="AM18" s="1160"/>
      <c r="AN18" s="1168"/>
      <c r="AO18" s="1160"/>
      <c r="AP18" s="1168"/>
      <c r="AQ18" s="1160"/>
      <c r="AR18" s="1168"/>
      <c r="AS18" s="1165"/>
      <c r="AT18" s="1166"/>
      <c r="AU18" s="1166"/>
      <c r="AV18" s="1167"/>
      <c r="AW18" s="1160"/>
      <c r="AX18" s="1168"/>
      <c r="AY18" s="1160"/>
      <c r="AZ18" s="1168"/>
      <c r="BA18" s="1160"/>
      <c r="BB18" s="1168"/>
      <c r="BC18" s="1160"/>
      <c r="BD18" s="1168"/>
      <c r="BE18" s="1160"/>
      <c r="BF18" s="1161"/>
    </row>
    <row r="19" spans="1:58" ht="4.5" customHeight="1" thickTop="1" x14ac:dyDescent="0.2"/>
    <row r="20" spans="1:58" ht="15" customHeight="1" x14ac:dyDescent="0.2">
      <c r="A20" s="1162" t="s">
        <v>72</v>
      </c>
      <c r="B20" s="1163"/>
      <c r="C20" s="1163"/>
      <c r="D20" s="1163"/>
      <c r="E20" s="1163"/>
      <c r="F20" s="1163"/>
      <c r="G20" s="1163"/>
      <c r="H20" s="1163"/>
      <c r="I20" s="1163"/>
      <c r="J20" s="1163"/>
      <c r="K20" s="1163"/>
      <c r="L20" s="1163"/>
      <c r="M20" s="1163"/>
      <c r="N20" s="1163"/>
      <c r="O20" s="1163"/>
      <c r="P20" s="1163"/>
      <c r="Q20" s="1163"/>
      <c r="R20" s="1163"/>
      <c r="S20" s="1163"/>
      <c r="T20" s="1163"/>
      <c r="U20" s="1163"/>
      <c r="V20" s="1163"/>
      <c r="W20" s="1163"/>
      <c r="X20" s="1163"/>
      <c r="Y20" s="1163"/>
      <c r="Z20" s="1163"/>
      <c r="AA20" s="1163"/>
      <c r="AB20" s="1163"/>
      <c r="AC20" s="1163"/>
      <c r="AD20" s="1163"/>
      <c r="AE20" s="1163"/>
      <c r="AF20" s="1163"/>
      <c r="AG20" s="1163"/>
      <c r="AH20" s="1163"/>
      <c r="AI20" s="1163"/>
      <c r="AJ20" s="1163"/>
      <c r="AK20" s="1163"/>
      <c r="AL20" s="1163"/>
      <c r="AM20" s="1163"/>
      <c r="AN20" s="1163"/>
      <c r="AO20" s="1163"/>
      <c r="AP20" s="1163"/>
      <c r="AQ20" s="1163"/>
      <c r="AR20" s="1163"/>
      <c r="AS20" s="1163"/>
      <c r="AT20" s="1163"/>
      <c r="AU20" s="1163"/>
      <c r="AV20" s="1163"/>
      <c r="AW20" s="1163"/>
      <c r="AX20" s="1163"/>
      <c r="AY20" s="1163"/>
      <c r="AZ20" s="1163"/>
      <c r="BA20" s="1163"/>
      <c r="BB20" s="1163"/>
      <c r="BC20" s="1163"/>
      <c r="BD20" s="1163"/>
      <c r="BE20" s="1163"/>
      <c r="BF20" s="1164"/>
    </row>
    <row r="21" spans="1:58" ht="15" customHeight="1" x14ac:dyDescent="0.2">
      <c r="A21" s="1159"/>
      <c r="B21" s="1159"/>
      <c r="C21" s="1159"/>
      <c r="D21" s="1159"/>
      <c r="E21" s="1159"/>
      <c r="F21" s="1159"/>
      <c r="G21" s="1159"/>
      <c r="H21" s="1159"/>
      <c r="I21" s="1159"/>
      <c r="J21" s="1159"/>
      <c r="K21" s="1159"/>
      <c r="L21" s="1159"/>
      <c r="M21" s="1159"/>
      <c r="N21" s="1159"/>
      <c r="O21" s="1159"/>
      <c r="P21" s="1159"/>
      <c r="Q21" s="1159"/>
      <c r="R21" s="1159"/>
      <c r="S21" s="1159"/>
      <c r="T21" s="1159"/>
      <c r="U21" s="1159"/>
      <c r="V21" s="1159"/>
      <c r="W21" s="1159"/>
      <c r="X21" s="1159"/>
      <c r="Y21" s="1159"/>
      <c r="Z21" s="1159"/>
      <c r="AA21" s="1159"/>
      <c r="AB21" s="1159"/>
      <c r="AC21" s="1159"/>
      <c r="AD21" s="1159"/>
      <c r="AE21" s="1159"/>
      <c r="AF21" s="1159"/>
      <c r="AG21" s="1159"/>
      <c r="AH21" s="1159"/>
      <c r="AI21" s="1159"/>
      <c r="AJ21" s="1159"/>
      <c r="AK21" s="1159"/>
      <c r="AL21" s="1159"/>
      <c r="AM21" s="1159"/>
      <c r="AN21" s="1159"/>
      <c r="AO21" s="1159"/>
      <c r="AP21" s="1159"/>
      <c r="AQ21" s="1159"/>
      <c r="AR21" s="1159"/>
      <c r="AS21" s="1159"/>
      <c r="AT21" s="1159"/>
      <c r="AU21" s="1159"/>
      <c r="AV21" s="1159"/>
      <c r="AW21" s="1159"/>
      <c r="AX21" s="1159"/>
      <c r="AY21" s="1159"/>
      <c r="AZ21" s="1159"/>
      <c r="BA21" s="1159"/>
      <c r="BB21" s="1159"/>
      <c r="BC21" s="1159"/>
      <c r="BD21" s="1159"/>
      <c r="BE21" s="1159"/>
      <c r="BF21" s="1159"/>
    </row>
    <row r="22" spans="1:58" ht="15" customHeight="1" x14ac:dyDescent="0.2">
      <c r="A22" s="1159"/>
      <c r="B22" s="1159"/>
      <c r="C22" s="1159"/>
      <c r="D22" s="1159"/>
      <c r="E22" s="1159"/>
      <c r="F22" s="1159"/>
      <c r="G22" s="1159"/>
      <c r="H22" s="1159"/>
      <c r="I22" s="1159"/>
      <c r="J22" s="1159"/>
      <c r="K22" s="1159"/>
      <c r="L22" s="1159"/>
      <c r="M22" s="1159"/>
      <c r="N22" s="1159"/>
      <c r="O22" s="1159"/>
      <c r="P22" s="1159"/>
      <c r="Q22" s="1159"/>
      <c r="R22" s="1159"/>
      <c r="S22" s="1159"/>
      <c r="T22" s="1159"/>
      <c r="U22" s="1159"/>
      <c r="V22" s="1159"/>
      <c r="W22" s="1159"/>
      <c r="X22" s="1159"/>
      <c r="Y22" s="1159"/>
      <c r="Z22" s="1159"/>
      <c r="AA22" s="1159"/>
      <c r="AB22" s="1159"/>
      <c r="AC22" s="1159"/>
      <c r="AD22" s="1159"/>
      <c r="AE22" s="1159"/>
      <c r="AF22" s="1159"/>
      <c r="AG22" s="1159"/>
      <c r="AH22" s="1159"/>
      <c r="AI22" s="1159"/>
      <c r="AJ22" s="1159"/>
      <c r="AK22" s="1159"/>
      <c r="AL22" s="1159"/>
      <c r="AM22" s="1159"/>
      <c r="AN22" s="1159"/>
      <c r="AO22" s="1159"/>
      <c r="AP22" s="1159"/>
      <c r="AQ22" s="1159"/>
      <c r="AR22" s="1159"/>
      <c r="AS22" s="1159"/>
      <c r="AT22" s="1159"/>
      <c r="AU22" s="1159"/>
      <c r="AV22" s="1159"/>
      <c r="AW22" s="1159"/>
      <c r="AX22" s="1159"/>
      <c r="AY22" s="1159"/>
      <c r="AZ22" s="1159"/>
      <c r="BA22" s="1159"/>
      <c r="BB22" s="1159"/>
      <c r="BC22" s="1159"/>
      <c r="BD22" s="1159"/>
      <c r="BE22" s="1159"/>
      <c r="BF22" s="1159"/>
    </row>
    <row r="23" spans="1:58" ht="15" customHeight="1" x14ac:dyDescent="0.2">
      <c r="A23" s="1159"/>
      <c r="B23" s="1159"/>
      <c r="C23" s="1159"/>
      <c r="D23" s="1159"/>
      <c r="E23" s="1159"/>
      <c r="F23" s="1159"/>
      <c r="G23" s="1159"/>
      <c r="H23" s="1159"/>
      <c r="I23" s="1159"/>
      <c r="J23" s="1159"/>
      <c r="K23" s="1159"/>
      <c r="L23" s="1159"/>
      <c r="M23" s="1159"/>
      <c r="N23" s="1159"/>
      <c r="O23" s="1159"/>
      <c r="P23" s="1159"/>
      <c r="Q23" s="1159"/>
      <c r="R23" s="1159"/>
      <c r="S23" s="1159"/>
      <c r="T23" s="1159"/>
      <c r="U23" s="1159"/>
      <c r="V23" s="1159"/>
      <c r="W23" s="1159"/>
      <c r="X23" s="1159"/>
      <c r="Y23" s="1159"/>
      <c r="Z23" s="1159"/>
      <c r="AA23" s="1159"/>
      <c r="AB23" s="1159"/>
      <c r="AC23" s="1159"/>
      <c r="AD23" s="1159"/>
      <c r="AE23" s="1159"/>
      <c r="AF23" s="1159"/>
      <c r="AG23" s="1159"/>
      <c r="AH23" s="1159"/>
      <c r="AI23" s="1159"/>
      <c r="AJ23" s="1159"/>
      <c r="AK23" s="1159"/>
      <c r="AL23" s="1159"/>
      <c r="AM23" s="1159"/>
      <c r="AN23" s="1159"/>
      <c r="AO23" s="1159"/>
      <c r="AP23" s="1159"/>
      <c r="AQ23" s="1159"/>
      <c r="AR23" s="1159"/>
      <c r="AS23" s="1159"/>
      <c r="AT23" s="1159"/>
      <c r="AU23" s="1159"/>
      <c r="AV23" s="1159"/>
      <c r="AW23" s="1159"/>
      <c r="AX23" s="1159"/>
      <c r="AY23" s="1159"/>
      <c r="AZ23" s="1159"/>
      <c r="BA23" s="1159"/>
      <c r="BB23" s="1159"/>
      <c r="BC23" s="1159"/>
      <c r="BD23" s="1159"/>
      <c r="BE23" s="1159"/>
      <c r="BF23" s="1159"/>
    </row>
    <row r="24" spans="1:58" ht="15" customHeight="1" x14ac:dyDescent="0.2">
      <c r="A24" s="1159"/>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1159"/>
      <c r="BA24" s="1159"/>
      <c r="BB24" s="1159"/>
      <c r="BC24" s="1159"/>
      <c r="BD24" s="1159"/>
      <c r="BE24" s="1159"/>
      <c r="BF24" s="1159"/>
    </row>
    <row r="25" spans="1:58" ht="15" customHeight="1" x14ac:dyDescent="0.2">
      <c r="A25" s="1159"/>
      <c r="B25" s="1159"/>
      <c r="C25" s="1159"/>
      <c r="D25" s="1159"/>
      <c r="E25" s="1159"/>
      <c r="F25" s="1159"/>
      <c r="G25" s="1159"/>
      <c r="H25" s="1159"/>
      <c r="I25" s="1159"/>
      <c r="J25" s="1159"/>
      <c r="K25" s="1159"/>
      <c r="L25" s="1159"/>
      <c r="M25" s="1159"/>
      <c r="N25" s="1159"/>
      <c r="O25" s="1159"/>
      <c r="P25" s="1159"/>
      <c r="Q25" s="1159"/>
      <c r="R25" s="1159"/>
      <c r="S25" s="1159"/>
      <c r="T25" s="1159"/>
      <c r="U25" s="1159"/>
      <c r="V25" s="1159"/>
      <c r="W25" s="1159"/>
      <c r="X25" s="1159"/>
      <c r="Y25" s="1159"/>
      <c r="Z25" s="1159"/>
      <c r="AA25" s="1159"/>
      <c r="AB25" s="1159"/>
      <c r="AC25" s="1159"/>
      <c r="AD25" s="1159"/>
      <c r="AE25" s="1159"/>
      <c r="AF25" s="1159"/>
      <c r="AG25" s="1159"/>
      <c r="AH25" s="1159"/>
      <c r="AI25" s="1159"/>
      <c r="AJ25" s="1159"/>
      <c r="AK25" s="1159"/>
      <c r="AL25" s="1159"/>
      <c r="AM25" s="1159"/>
      <c r="AN25" s="1159"/>
      <c r="AO25" s="1159"/>
      <c r="AP25" s="1159"/>
      <c r="AQ25" s="1159"/>
      <c r="AR25" s="1159"/>
      <c r="AS25" s="1159"/>
      <c r="AT25" s="1159"/>
      <c r="AU25" s="1159"/>
      <c r="AV25" s="1159"/>
      <c r="AW25" s="1159"/>
      <c r="AX25" s="1159"/>
      <c r="AY25" s="1159"/>
      <c r="AZ25" s="1159"/>
      <c r="BA25" s="1159"/>
      <c r="BB25" s="1159"/>
      <c r="BC25" s="1159"/>
      <c r="BD25" s="1159"/>
      <c r="BE25" s="1159"/>
      <c r="BF25" s="1159"/>
    </row>
    <row r="26" spans="1:58" ht="15" customHeight="1" x14ac:dyDescent="0.2">
      <c r="A26" s="1159"/>
      <c r="B26" s="1159"/>
      <c r="C26" s="1159"/>
      <c r="D26" s="1159"/>
      <c r="E26" s="1159"/>
      <c r="F26" s="1159"/>
      <c r="G26" s="1159"/>
      <c r="H26" s="1159"/>
      <c r="I26" s="1159"/>
      <c r="J26" s="1159"/>
      <c r="K26" s="1159"/>
      <c r="L26" s="1159"/>
      <c r="M26" s="1159"/>
      <c r="N26" s="1159"/>
      <c r="O26" s="1159"/>
      <c r="P26" s="1159"/>
      <c r="Q26" s="1159"/>
      <c r="R26" s="1159"/>
      <c r="S26" s="1159"/>
      <c r="T26" s="1159"/>
      <c r="U26" s="1159"/>
      <c r="V26" s="1159"/>
      <c r="W26" s="1159"/>
      <c r="X26" s="1159"/>
      <c r="Y26" s="1159"/>
      <c r="Z26" s="1159"/>
      <c r="AA26" s="1159"/>
      <c r="AB26" s="1159"/>
      <c r="AC26" s="1159"/>
      <c r="AD26" s="1159"/>
      <c r="AE26" s="1159"/>
      <c r="AF26" s="1159"/>
      <c r="AG26" s="1159"/>
      <c r="AH26" s="1159"/>
      <c r="AI26" s="1159"/>
      <c r="AJ26" s="1159"/>
      <c r="AK26" s="1159"/>
      <c r="AL26" s="1159"/>
      <c r="AM26" s="1159"/>
      <c r="AN26" s="1159"/>
      <c r="AO26" s="1159"/>
      <c r="AP26" s="1159"/>
      <c r="AQ26" s="1159"/>
      <c r="AR26" s="1159"/>
      <c r="AS26" s="1159"/>
      <c r="AT26" s="1159"/>
      <c r="AU26" s="1159"/>
      <c r="AV26" s="1159"/>
      <c r="AW26" s="1159"/>
      <c r="AX26" s="1159"/>
      <c r="AY26" s="1159"/>
      <c r="AZ26" s="1159"/>
      <c r="BA26" s="1159"/>
      <c r="BB26" s="1159"/>
      <c r="BC26" s="1159"/>
      <c r="BD26" s="1159"/>
      <c r="BE26" s="1159"/>
      <c r="BF26" s="1159"/>
    </row>
    <row r="27" spans="1:58" ht="15" customHeight="1" x14ac:dyDescent="0.2">
      <c r="A27" s="1159"/>
      <c r="B27" s="1159"/>
      <c r="C27" s="1159"/>
      <c r="D27" s="1159"/>
      <c r="E27" s="1159"/>
      <c r="F27" s="1159"/>
      <c r="G27" s="1159"/>
      <c r="H27" s="1159"/>
      <c r="I27" s="1159"/>
      <c r="J27" s="1159"/>
      <c r="K27" s="1159"/>
      <c r="L27" s="1159"/>
      <c r="M27" s="1159"/>
      <c r="N27" s="1159"/>
      <c r="O27" s="1159"/>
      <c r="P27" s="1159"/>
      <c r="Q27" s="1159"/>
      <c r="R27" s="1159"/>
      <c r="S27" s="1159"/>
      <c r="T27" s="1159"/>
      <c r="U27" s="1159"/>
      <c r="V27" s="1159"/>
      <c r="W27" s="1159"/>
      <c r="X27" s="1159"/>
      <c r="Y27" s="1159"/>
      <c r="Z27" s="1159"/>
      <c r="AA27" s="1159"/>
      <c r="AB27" s="1159"/>
      <c r="AC27" s="1159"/>
      <c r="AD27" s="1159"/>
      <c r="AE27" s="1159"/>
      <c r="AF27" s="1159"/>
      <c r="AG27" s="1159"/>
      <c r="AH27" s="1159"/>
      <c r="AI27" s="1159"/>
      <c r="AJ27" s="1159"/>
      <c r="AK27" s="1159"/>
      <c r="AL27" s="1159"/>
      <c r="AM27" s="1159"/>
      <c r="AN27" s="1159"/>
      <c r="AO27" s="1159"/>
      <c r="AP27" s="1159"/>
      <c r="AQ27" s="1159"/>
      <c r="AR27" s="1159"/>
      <c r="AS27" s="1159"/>
      <c r="AT27" s="1159"/>
      <c r="AU27" s="1159"/>
      <c r="AV27" s="1159"/>
      <c r="AW27" s="1159"/>
      <c r="AX27" s="1159"/>
      <c r="AY27" s="1159"/>
      <c r="AZ27" s="1159"/>
      <c r="BA27" s="1159"/>
      <c r="BB27" s="1159"/>
      <c r="BC27" s="1159"/>
      <c r="BD27" s="1159"/>
      <c r="BE27" s="1159"/>
      <c r="BF27" s="1159"/>
    </row>
    <row r="28" spans="1:58" ht="15" customHeight="1" x14ac:dyDescent="0.2">
      <c r="A28" s="1159"/>
      <c r="B28" s="1159"/>
      <c r="C28" s="1159"/>
      <c r="D28" s="1159"/>
      <c r="E28" s="1159"/>
      <c r="F28" s="1159"/>
      <c r="G28" s="1159"/>
      <c r="H28" s="1159"/>
      <c r="I28" s="1159"/>
      <c r="J28" s="1159"/>
      <c r="K28" s="1159"/>
      <c r="L28" s="1159"/>
      <c r="M28" s="1159"/>
      <c r="N28" s="1159"/>
      <c r="O28" s="1159"/>
      <c r="P28" s="1159"/>
      <c r="Q28" s="1159"/>
      <c r="R28" s="1159"/>
      <c r="S28" s="1159"/>
      <c r="T28" s="1159"/>
      <c r="U28" s="1159"/>
      <c r="V28" s="1159"/>
      <c r="W28" s="1159"/>
      <c r="X28" s="1159"/>
      <c r="Y28" s="1159"/>
      <c r="Z28" s="1159"/>
      <c r="AA28" s="1159"/>
      <c r="AB28" s="1159"/>
      <c r="AC28" s="1159"/>
      <c r="AD28" s="1159"/>
      <c r="AE28" s="1159"/>
      <c r="AF28" s="1159"/>
      <c r="AG28" s="1159"/>
      <c r="AH28" s="1159"/>
      <c r="AI28" s="1159"/>
      <c r="AJ28" s="1159"/>
      <c r="AK28" s="1159"/>
      <c r="AL28" s="1159"/>
      <c r="AM28" s="1159"/>
      <c r="AN28" s="1159"/>
      <c r="AO28" s="1159"/>
      <c r="AP28" s="1159"/>
      <c r="AQ28" s="1159"/>
      <c r="AR28" s="1159"/>
      <c r="AS28" s="1159"/>
      <c r="AT28" s="1159"/>
      <c r="AU28" s="1159"/>
      <c r="AV28" s="1159"/>
      <c r="AW28" s="1159"/>
      <c r="AX28" s="1159"/>
      <c r="AY28" s="1159"/>
      <c r="AZ28" s="1159"/>
      <c r="BA28" s="1159"/>
      <c r="BB28" s="1159"/>
      <c r="BC28" s="1159"/>
      <c r="BD28" s="1159"/>
      <c r="BE28" s="1159"/>
      <c r="BF28" s="1159"/>
    </row>
    <row r="29" spans="1:58" ht="15" customHeight="1" x14ac:dyDescent="0.2">
      <c r="A29" s="1159"/>
      <c r="B29" s="1159"/>
      <c r="C29" s="1159"/>
      <c r="D29" s="1159"/>
      <c r="E29" s="1159"/>
      <c r="F29" s="1159"/>
      <c r="G29" s="1159"/>
      <c r="H29" s="1159"/>
      <c r="I29" s="1159"/>
      <c r="J29" s="1159"/>
      <c r="K29" s="1159"/>
      <c r="L29" s="1159"/>
      <c r="M29" s="1159"/>
      <c r="N29" s="1159"/>
      <c r="O29" s="1159"/>
      <c r="P29" s="1159"/>
      <c r="Q29" s="1159"/>
      <c r="R29" s="1159"/>
      <c r="S29" s="1159"/>
      <c r="T29" s="1159"/>
      <c r="U29" s="1159"/>
      <c r="V29" s="1159"/>
      <c r="W29" s="1159"/>
      <c r="X29" s="1159"/>
      <c r="Y29" s="1159"/>
      <c r="Z29" s="1159"/>
      <c r="AA29" s="1159"/>
      <c r="AB29" s="1159"/>
      <c r="AC29" s="1159"/>
      <c r="AD29" s="1159"/>
      <c r="AE29" s="1159"/>
      <c r="AF29" s="1159"/>
      <c r="AG29" s="1159"/>
      <c r="AH29" s="1159"/>
      <c r="AI29" s="1159"/>
      <c r="AJ29" s="1159"/>
      <c r="AK29" s="1159"/>
      <c r="AL29" s="1159"/>
      <c r="AM29" s="1159"/>
      <c r="AN29" s="1159"/>
      <c r="AO29" s="1159"/>
      <c r="AP29" s="1159"/>
      <c r="AQ29" s="1159"/>
      <c r="AR29" s="1159"/>
      <c r="AS29" s="1159"/>
      <c r="AT29" s="1159"/>
      <c r="AU29" s="1159"/>
      <c r="AV29" s="1159"/>
      <c r="AW29" s="1159"/>
      <c r="AX29" s="1159"/>
      <c r="AY29" s="1159"/>
      <c r="AZ29" s="1159"/>
      <c r="BA29" s="1159"/>
      <c r="BB29" s="1159"/>
      <c r="BC29" s="1159"/>
      <c r="BD29" s="1159"/>
      <c r="BE29" s="1159"/>
      <c r="BF29" s="1159"/>
    </row>
    <row r="30" spans="1:58" ht="15" customHeight="1" x14ac:dyDescent="0.2">
      <c r="A30" s="1159"/>
      <c r="B30" s="1159"/>
      <c r="C30" s="1159"/>
      <c r="D30" s="1159"/>
      <c r="E30" s="1159"/>
      <c r="F30" s="1159"/>
      <c r="G30" s="1159"/>
      <c r="H30" s="1159"/>
      <c r="I30" s="1159"/>
      <c r="J30" s="1159"/>
      <c r="K30" s="1159"/>
      <c r="L30" s="1159"/>
      <c r="M30" s="1159"/>
      <c r="N30" s="1159"/>
      <c r="O30" s="1159"/>
      <c r="P30" s="1159"/>
      <c r="Q30" s="1159"/>
      <c r="R30" s="1159"/>
      <c r="S30" s="1159"/>
      <c r="T30" s="1159"/>
      <c r="U30" s="1159"/>
      <c r="V30" s="1159"/>
      <c r="W30" s="1159"/>
      <c r="X30" s="1159"/>
      <c r="Y30" s="1159"/>
      <c r="Z30" s="1159"/>
      <c r="AA30" s="1159"/>
      <c r="AB30" s="1159"/>
      <c r="AC30" s="1159"/>
      <c r="AD30" s="1159"/>
      <c r="AE30" s="1159"/>
      <c r="AF30" s="1159"/>
      <c r="AG30" s="1159"/>
      <c r="AH30" s="1159"/>
      <c r="AI30" s="1159"/>
      <c r="AJ30" s="1159"/>
      <c r="AK30" s="1159"/>
      <c r="AL30" s="1159"/>
      <c r="AM30" s="1159"/>
      <c r="AN30" s="1159"/>
      <c r="AO30" s="1159"/>
      <c r="AP30" s="1159"/>
      <c r="AQ30" s="1159"/>
      <c r="AR30" s="1159"/>
      <c r="AS30" s="1159"/>
      <c r="AT30" s="1159"/>
      <c r="AU30" s="1159"/>
      <c r="AV30" s="1159"/>
      <c r="AW30" s="1159"/>
      <c r="AX30" s="1159"/>
      <c r="AY30" s="1159"/>
      <c r="AZ30" s="1159"/>
      <c r="BA30" s="1159"/>
      <c r="BB30" s="1159"/>
      <c r="BC30" s="1159"/>
      <c r="BD30" s="1159"/>
      <c r="BE30" s="1159"/>
      <c r="BF30" s="1159"/>
    </row>
    <row r="31" spans="1:58" ht="15" customHeight="1" x14ac:dyDescent="0.2">
      <c r="A31" s="1159"/>
      <c r="B31" s="1159"/>
      <c r="C31" s="1159"/>
      <c r="D31" s="1159"/>
      <c r="E31" s="1159"/>
      <c r="F31" s="1159"/>
      <c r="G31" s="1159"/>
      <c r="H31" s="1159"/>
      <c r="I31" s="1159"/>
      <c r="J31" s="1159"/>
      <c r="K31" s="1159"/>
      <c r="L31" s="1159"/>
      <c r="M31" s="1159"/>
      <c r="N31" s="1159"/>
      <c r="O31" s="1159"/>
      <c r="P31" s="1159"/>
      <c r="Q31" s="1159"/>
      <c r="R31" s="1159"/>
      <c r="S31" s="1159"/>
      <c r="T31" s="1159"/>
      <c r="U31" s="1159"/>
      <c r="V31" s="1159"/>
      <c r="W31" s="1159"/>
      <c r="X31" s="1159"/>
      <c r="Y31" s="1159"/>
      <c r="Z31" s="1159"/>
      <c r="AA31" s="1159"/>
      <c r="AB31" s="1159"/>
      <c r="AC31" s="1159"/>
      <c r="AD31" s="1159"/>
      <c r="AE31" s="1159"/>
      <c r="AF31" s="1159"/>
      <c r="AG31" s="1159"/>
      <c r="AH31" s="1159"/>
      <c r="AI31" s="1159"/>
      <c r="AJ31" s="1159"/>
      <c r="AK31" s="1159"/>
      <c r="AL31" s="1159"/>
      <c r="AM31" s="1159"/>
      <c r="AN31" s="1159"/>
      <c r="AO31" s="1159"/>
      <c r="AP31" s="1159"/>
      <c r="AQ31" s="1159"/>
      <c r="AR31" s="1159"/>
      <c r="AS31" s="1159"/>
      <c r="AT31" s="1159"/>
      <c r="AU31" s="1159"/>
      <c r="AV31" s="1159"/>
      <c r="AW31" s="1159"/>
      <c r="AX31" s="1159"/>
      <c r="AY31" s="1159"/>
      <c r="AZ31" s="1159"/>
      <c r="BA31" s="1159"/>
      <c r="BB31" s="1159"/>
      <c r="BC31" s="1159"/>
      <c r="BD31" s="1159"/>
      <c r="BE31" s="1159"/>
      <c r="BF31" s="1159"/>
    </row>
    <row r="32" spans="1:58" ht="15" customHeight="1" x14ac:dyDescent="0.2">
      <c r="A32" s="1159"/>
      <c r="B32" s="1159"/>
      <c r="C32" s="1159"/>
      <c r="D32" s="1159"/>
      <c r="E32" s="1159"/>
      <c r="F32" s="1159"/>
      <c r="G32" s="1159"/>
      <c r="H32" s="1159"/>
      <c r="I32" s="1159"/>
      <c r="J32" s="1159"/>
      <c r="K32" s="1159"/>
      <c r="L32" s="1159"/>
      <c r="M32" s="1159"/>
      <c r="N32" s="1159"/>
      <c r="O32" s="1159"/>
      <c r="P32" s="1159"/>
      <c r="Q32" s="1159"/>
      <c r="R32" s="1159"/>
      <c r="S32" s="1159"/>
      <c r="T32" s="1159"/>
      <c r="U32" s="1159"/>
      <c r="V32" s="1159"/>
      <c r="W32" s="1159"/>
      <c r="X32" s="1159"/>
      <c r="Y32" s="1159"/>
      <c r="Z32" s="1159"/>
      <c r="AA32" s="1159"/>
      <c r="AB32" s="1159"/>
      <c r="AC32" s="1159"/>
      <c r="AD32" s="1159"/>
      <c r="AE32" s="1159"/>
      <c r="AF32" s="1159"/>
      <c r="AG32" s="1159"/>
      <c r="AH32" s="1159"/>
      <c r="AI32" s="1159"/>
      <c r="AJ32" s="1159"/>
      <c r="AK32" s="1159"/>
      <c r="AL32" s="1159"/>
      <c r="AM32" s="1159"/>
      <c r="AN32" s="1159"/>
      <c r="AO32" s="1159"/>
      <c r="AP32" s="1159"/>
      <c r="AQ32" s="1159"/>
      <c r="AR32" s="1159"/>
      <c r="AS32" s="1159"/>
      <c r="AT32" s="1159"/>
      <c r="AU32" s="1159"/>
      <c r="AV32" s="1159"/>
      <c r="AW32" s="1159"/>
      <c r="AX32" s="1159"/>
      <c r="AY32" s="1159"/>
      <c r="AZ32" s="1159"/>
      <c r="BA32" s="1159"/>
      <c r="BB32" s="1159"/>
      <c r="BC32" s="1159"/>
      <c r="BD32" s="1159"/>
      <c r="BE32" s="1159"/>
      <c r="BF32" s="1159"/>
    </row>
    <row r="33" spans="1:58" ht="15" customHeight="1" x14ac:dyDescent="0.2">
      <c r="A33" s="1159"/>
      <c r="B33" s="1159"/>
      <c r="C33" s="1159"/>
      <c r="D33" s="1159"/>
      <c r="E33" s="1159"/>
      <c r="F33" s="1159"/>
      <c r="G33" s="1159"/>
      <c r="H33" s="1159"/>
      <c r="I33" s="1159"/>
      <c r="J33" s="1159"/>
      <c r="K33" s="1159"/>
      <c r="L33" s="1159"/>
      <c r="M33" s="1159"/>
      <c r="N33" s="1159"/>
      <c r="O33" s="1159"/>
      <c r="P33" s="1159"/>
      <c r="Q33" s="1159"/>
      <c r="R33" s="1159"/>
      <c r="S33" s="1159"/>
      <c r="T33" s="1159"/>
      <c r="U33" s="1159"/>
      <c r="V33" s="1159"/>
      <c r="W33" s="1159"/>
      <c r="X33" s="1159"/>
      <c r="Y33" s="1159"/>
      <c r="Z33" s="1159"/>
      <c r="AA33" s="1159"/>
      <c r="AB33" s="1159"/>
      <c r="AC33" s="1159"/>
      <c r="AD33" s="1159"/>
      <c r="AE33" s="1159"/>
      <c r="AF33" s="1159"/>
      <c r="AG33" s="1159"/>
      <c r="AH33" s="1159"/>
      <c r="AI33" s="1159"/>
      <c r="AJ33" s="1159"/>
      <c r="AK33" s="1159"/>
      <c r="AL33" s="1159"/>
      <c r="AM33" s="1159"/>
      <c r="AN33" s="1159"/>
      <c r="AO33" s="1159"/>
      <c r="AP33" s="1159"/>
      <c r="AQ33" s="1159"/>
      <c r="AR33" s="1159"/>
      <c r="AS33" s="1159"/>
      <c r="AT33" s="1159"/>
      <c r="AU33" s="1159"/>
      <c r="AV33" s="1159"/>
      <c r="AW33" s="1159"/>
      <c r="AX33" s="1159"/>
      <c r="AY33" s="1159"/>
      <c r="AZ33" s="1159"/>
      <c r="BA33" s="1159"/>
      <c r="BB33" s="1159"/>
      <c r="BC33" s="1159"/>
      <c r="BD33" s="1159"/>
      <c r="BE33" s="1159"/>
      <c r="BF33" s="1159"/>
    </row>
    <row r="34" spans="1:58" ht="15" customHeight="1" x14ac:dyDescent="0.2">
      <c r="A34" s="1159"/>
      <c r="B34" s="1159"/>
      <c r="C34" s="1159"/>
      <c r="D34" s="1159"/>
      <c r="E34" s="1159"/>
      <c r="F34" s="1159"/>
      <c r="G34" s="1159"/>
      <c r="H34" s="1159"/>
      <c r="I34" s="1159"/>
      <c r="J34" s="1159"/>
      <c r="K34" s="1159"/>
      <c r="L34" s="1159"/>
      <c r="M34" s="1159"/>
      <c r="N34" s="1159"/>
      <c r="O34" s="1159"/>
      <c r="P34" s="1159"/>
      <c r="Q34" s="1159"/>
      <c r="R34" s="1159"/>
      <c r="S34" s="1159"/>
      <c r="T34" s="1159"/>
      <c r="U34" s="1159"/>
      <c r="V34" s="1159"/>
      <c r="W34" s="1159"/>
      <c r="X34" s="1159"/>
      <c r="Y34" s="1159"/>
      <c r="Z34" s="1159"/>
      <c r="AA34" s="1159"/>
      <c r="AB34" s="1159"/>
      <c r="AC34" s="1159"/>
      <c r="AD34" s="1159"/>
      <c r="AE34" s="1159"/>
      <c r="AF34" s="1159"/>
      <c r="AG34" s="1159"/>
      <c r="AH34" s="1159"/>
      <c r="AI34" s="1159"/>
      <c r="AJ34" s="1159"/>
      <c r="AK34" s="1159"/>
      <c r="AL34" s="1159"/>
      <c r="AM34" s="1159"/>
      <c r="AN34" s="1159"/>
      <c r="AO34" s="1159"/>
      <c r="AP34" s="1159"/>
      <c r="AQ34" s="1159"/>
      <c r="AR34" s="1159"/>
      <c r="AS34" s="1159"/>
      <c r="AT34" s="1159"/>
      <c r="AU34" s="1159"/>
      <c r="AV34" s="1159"/>
      <c r="AW34" s="1159"/>
      <c r="AX34" s="1159"/>
      <c r="AY34" s="1159"/>
      <c r="AZ34" s="1159"/>
      <c r="BA34" s="1159"/>
      <c r="BB34" s="1159"/>
      <c r="BC34" s="1159"/>
      <c r="BD34" s="1159"/>
      <c r="BE34" s="1159"/>
      <c r="BF34" s="1159"/>
    </row>
    <row r="35" spans="1:58" ht="15" customHeight="1" x14ac:dyDescent="0.2">
      <c r="A35" s="1159"/>
      <c r="B35" s="1159"/>
      <c r="C35" s="1159"/>
      <c r="D35" s="1159"/>
      <c r="E35" s="1159"/>
      <c r="F35" s="1159"/>
      <c r="G35" s="1159"/>
      <c r="H35" s="1159"/>
      <c r="I35" s="1159"/>
      <c r="J35" s="1159"/>
      <c r="K35" s="1159"/>
      <c r="L35" s="1159"/>
      <c r="M35" s="1159"/>
      <c r="N35" s="1159"/>
      <c r="O35" s="1159"/>
      <c r="P35" s="1159"/>
      <c r="Q35" s="1159"/>
      <c r="R35" s="1159"/>
      <c r="S35" s="1159"/>
      <c r="T35" s="1159"/>
      <c r="U35" s="1159"/>
      <c r="V35" s="1159"/>
      <c r="W35" s="1159"/>
      <c r="X35" s="1159"/>
      <c r="Y35" s="1159"/>
      <c r="Z35" s="1159"/>
      <c r="AA35" s="1159"/>
      <c r="AB35" s="1159"/>
      <c r="AC35" s="1159"/>
      <c r="AD35" s="1159"/>
      <c r="AE35" s="1159"/>
      <c r="AF35" s="1159"/>
      <c r="AG35" s="1159"/>
      <c r="AH35" s="1159"/>
      <c r="AI35" s="1159"/>
      <c r="AJ35" s="1159"/>
      <c r="AK35" s="1159"/>
      <c r="AL35" s="1159"/>
      <c r="AM35" s="1159"/>
      <c r="AN35" s="1159"/>
      <c r="AO35" s="1159"/>
      <c r="AP35" s="1159"/>
      <c r="AQ35" s="1159"/>
      <c r="AR35" s="1159"/>
      <c r="AS35" s="1159"/>
      <c r="AT35" s="1159"/>
      <c r="AU35" s="1159"/>
      <c r="AV35" s="1159"/>
      <c r="AW35" s="1159"/>
      <c r="AX35" s="1159"/>
      <c r="AY35" s="1159"/>
      <c r="AZ35" s="1159"/>
      <c r="BA35" s="1159"/>
      <c r="BB35" s="1159"/>
      <c r="BC35" s="1159"/>
      <c r="BD35" s="1159"/>
      <c r="BE35" s="1159"/>
      <c r="BF35" s="1159"/>
    </row>
    <row r="36" spans="1:58" ht="15" customHeight="1" x14ac:dyDescent="0.2">
      <c r="A36" s="1159"/>
      <c r="B36" s="1159"/>
      <c r="C36" s="1159"/>
      <c r="D36" s="1159"/>
      <c r="E36" s="1159"/>
      <c r="F36" s="1159"/>
      <c r="G36" s="1159"/>
      <c r="H36" s="1159"/>
      <c r="I36" s="1159"/>
      <c r="J36" s="1159"/>
      <c r="K36" s="1159"/>
      <c r="L36" s="1159"/>
      <c r="M36" s="1159"/>
      <c r="N36" s="1159"/>
      <c r="O36" s="1159"/>
      <c r="P36" s="1159"/>
      <c r="Q36" s="1159"/>
      <c r="R36" s="1159"/>
      <c r="S36" s="1159"/>
      <c r="T36" s="1159"/>
      <c r="U36" s="1159"/>
      <c r="V36" s="1159"/>
      <c r="W36" s="1159"/>
      <c r="X36" s="1159"/>
      <c r="Y36" s="1159"/>
      <c r="Z36" s="1159"/>
      <c r="AA36" s="1159"/>
      <c r="AB36" s="1159"/>
      <c r="AC36" s="1159"/>
      <c r="AD36" s="1159"/>
      <c r="AE36" s="1159"/>
      <c r="AF36" s="1159"/>
      <c r="AG36" s="1159"/>
      <c r="AH36" s="1159"/>
      <c r="AI36" s="1159"/>
      <c r="AJ36" s="1159"/>
      <c r="AK36" s="1159"/>
      <c r="AL36" s="1159"/>
      <c r="AM36" s="1159"/>
      <c r="AN36" s="1159"/>
      <c r="AO36" s="1159"/>
      <c r="AP36" s="1159"/>
      <c r="AQ36" s="1159"/>
      <c r="AR36" s="1159"/>
      <c r="AS36" s="1159"/>
      <c r="AT36" s="1159"/>
      <c r="AU36" s="1159"/>
      <c r="AV36" s="1159"/>
      <c r="AW36" s="1159"/>
      <c r="AX36" s="1159"/>
      <c r="AY36" s="1159"/>
      <c r="AZ36" s="1159"/>
      <c r="BA36" s="1159"/>
      <c r="BB36" s="1159"/>
      <c r="BC36" s="1159"/>
      <c r="BD36" s="1159"/>
      <c r="BE36" s="1159"/>
      <c r="BF36" s="1159"/>
    </row>
    <row r="37" spans="1:58" ht="15" customHeight="1" x14ac:dyDescent="0.2">
      <c r="A37" s="1159"/>
      <c r="B37" s="1159"/>
      <c r="C37" s="1159"/>
      <c r="D37" s="1159"/>
      <c r="E37" s="1159"/>
      <c r="F37" s="1159"/>
      <c r="G37" s="1159"/>
      <c r="H37" s="1159"/>
      <c r="I37" s="1159"/>
      <c r="J37" s="1159"/>
      <c r="K37" s="1159"/>
      <c r="L37" s="1159"/>
      <c r="M37" s="1159"/>
      <c r="N37" s="1159"/>
      <c r="O37" s="1159"/>
      <c r="P37" s="1159"/>
      <c r="Q37" s="1159"/>
      <c r="R37" s="1159"/>
      <c r="S37" s="1159"/>
      <c r="T37" s="1159"/>
      <c r="U37" s="1159"/>
      <c r="V37" s="1159"/>
      <c r="W37" s="1159"/>
      <c r="X37" s="1159"/>
      <c r="Y37" s="1159"/>
      <c r="Z37" s="1159"/>
      <c r="AA37" s="1159"/>
      <c r="AB37" s="1159"/>
      <c r="AC37" s="1159"/>
      <c r="AD37" s="1159"/>
      <c r="AE37" s="1159"/>
      <c r="AF37" s="1159"/>
      <c r="AG37" s="1159"/>
      <c r="AH37" s="1159"/>
      <c r="AI37" s="1159"/>
      <c r="AJ37" s="1159"/>
      <c r="AK37" s="1159"/>
      <c r="AL37" s="1159"/>
      <c r="AM37" s="1159"/>
      <c r="AN37" s="1159"/>
      <c r="AO37" s="1159"/>
      <c r="AP37" s="1159"/>
      <c r="AQ37" s="1159"/>
      <c r="AR37" s="1159"/>
      <c r="AS37" s="1159"/>
      <c r="AT37" s="1159"/>
      <c r="AU37" s="1159"/>
      <c r="AV37" s="1159"/>
      <c r="AW37" s="1159"/>
      <c r="AX37" s="1159"/>
      <c r="AY37" s="1159"/>
      <c r="AZ37" s="1159"/>
      <c r="BA37" s="1159"/>
      <c r="BB37" s="1159"/>
      <c r="BC37" s="1159"/>
      <c r="BD37" s="1159"/>
      <c r="BE37" s="1159"/>
      <c r="BF37" s="1159"/>
    </row>
    <row r="38" spans="1:58" ht="15" customHeight="1" x14ac:dyDescent="0.2">
      <c r="A38" s="1159"/>
      <c r="B38" s="1159"/>
      <c r="C38" s="1159"/>
      <c r="D38" s="1159"/>
      <c r="E38" s="1159"/>
      <c r="F38" s="1159"/>
      <c r="G38" s="1159"/>
      <c r="H38" s="1159"/>
      <c r="I38" s="1159"/>
      <c r="J38" s="1159"/>
      <c r="K38" s="1159"/>
      <c r="L38" s="1159"/>
      <c r="M38" s="1159"/>
      <c r="N38" s="1159"/>
      <c r="O38" s="1159"/>
      <c r="P38" s="1159"/>
      <c r="Q38" s="1159"/>
      <c r="R38" s="1159"/>
      <c r="S38" s="1159"/>
      <c r="T38" s="1159"/>
      <c r="U38" s="1159"/>
      <c r="V38" s="1159"/>
      <c r="W38" s="1159"/>
      <c r="X38" s="1159"/>
      <c r="Y38" s="1159"/>
      <c r="Z38" s="1159"/>
      <c r="AA38" s="1159"/>
      <c r="AB38" s="1159"/>
      <c r="AC38" s="1159"/>
      <c r="AD38" s="1159"/>
      <c r="AE38" s="1159"/>
      <c r="AF38" s="1159"/>
      <c r="AG38" s="1159"/>
      <c r="AH38" s="1159"/>
      <c r="AI38" s="1159"/>
      <c r="AJ38" s="1159"/>
      <c r="AK38" s="1159"/>
      <c r="AL38" s="1159"/>
      <c r="AM38" s="1159"/>
      <c r="AN38" s="1159"/>
      <c r="AO38" s="1159"/>
      <c r="AP38" s="1159"/>
      <c r="AQ38" s="1159"/>
      <c r="AR38" s="1159"/>
      <c r="AS38" s="1159"/>
      <c r="AT38" s="1159"/>
      <c r="AU38" s="1159"/>
      <c r="AV38" s="1159"/>
      <c r="AW38" s="1159"/>
      <c r="AX38" s="1159"/>
      <c r="AY38" s="1159"/>
      <c r="AZ38" s="1159"/>
      <c r="BA38" s="1159"/>
      <c r="BB38" s="1159"/>
      <c r="BC38" s="1159"/>
      <c r="BD38" s="1159"/>
      <c r="BE38" s="1159"/>
      <c r="BF38" s="1159"/>
    </row>
    <row r="39" spans="1:58" ht="15" customHeight="1" x14ac:dyDescent="0.2">
      <c r="A39" s="1159"/>
      <c r="B39" s="1159"/>
      <c r="C39" s="1159"/>
      <c r="D39" s="1159"/>
      <c r="E39" s="1159"/>
      <c r="F39" s="1159"/>
      <c r="G39" s="1159"/>
      <c r="H39" s="1159"/>
      <c r="I39" s="1159"/>
      <c r="J39" s="1159"/>
      <c r="K39" s="1159"/>
      <c r="L39" s="1159"/>
      <c r="M39" s="1159"/>
      <c r="N39" s="1159"/>
      <c r="O39" s="1159"/>
      <c r="P39" s="1159"/>
      <c r="Q39" s="1159"/>
      <c r="R39" s="1159"/>
      <c r="S39" s="1159"/>
      <c r="T39" s="1159"/>
      <c r="U39" s="1159"/>
      <c r="V39" s="1159"/>
      <c r="W39" s="1159"/>
      <c r="X39" s="1159"/>
      <c r="Y39" s="1159"/>
      <c r="Z39" s="1159"/>
      <c r="AA39" s="1159"/>
      <c r="AB39" s="1159"/>
      <c r="AC39" s="1159"/>
      <c r="AD39" s="1159"/>
      <c r="AE39" s="1159"/>
      <c r="AF39" s="1159"/>
      <c r="AG39" s="1159"/>
      <c r="AH39" s="1159"/>
      <c r="AI39" s="1159"/>
      <c r="AJ39" s="1159"/>
      <c r="AK39" s="1159"/>
      <c r="AL39" s="1159"/>
      <c r="AM39" s="1159"/>
      <c r="AN39" s="1159"/>
      <c r="AO39" s="1159"/>
      <c r="AP39" s="1159"/>
      <c r="AQ39" s="1159"/>
      <c r="AR39" s="1159"/>
      <c r="AS39" s="1159"/>
      <c r="AT39" s="1159"/>
      <c r="AU39" s="1159"/>
      <c r="AV39" s="1159"/>
      <c r="AW39" s="1159"/>
      <c r="AX39" s="1159"/>
      <c r="AY39" s="1159"/>
      <c r="AZ39" s="1159"/>
      <c r="BA39" s="1159"/>
      <c r="BB39" s="1159"/>
      <c r="BC39" s="1159"/>
      <c r="BD39" s="1159"/>
      <c r="BE39" s="1159"/>
      <c r="BF39" s="1159"/>
    </row>
    <row r="40" spans="1:58" ht="15" customHeight="1" x14ac:dyDescent="0.2">
      <c r="A40" s="1159"/>
      <c r="B40" s="1159"/>
      <c r="C40" s="1159"/>
      <c r="D40" s="1159"/>
      <c r="E40" s="1159"/>
      <c r="F40" s="1159"/>
      <c r="G40" s="1159"/>
      <c r="H40" s="1159"/>
      <c r="I40" s="1159"/>
      <c r="J40" s="1159"/>
      <c r="K40" s="1159"/>
      <c r="L40" s="1159"/>
      <c r="M40" s="1159"/>
      <c r="N40" s="1159"/>
      <c r="O40" s="1159"/>
      <c r="P40" s="1159"/>
      <c r="Q40" s="1159"/>
      <c r="R40" s="1159"/>
      <c r="S40" s="1159"/>
      <c r="T40" s="1159"/>
      <c r="U40" s="1159"/>
      <c r="V40" s="1159"/>
      <c r="W40" s="1159"/>
      <c r="X40" s="1159"/>
      <c r="Y40" s="1159"/>
      <c r="Z40" s="1159"/>
      <c r="AA40" s="1159"/>
      <c r="AB40" s="1159"/>
      <c r="AC40" s="1159"/>
      <c r="AD40" s="1159"/>
      <c r="AE40" s="1159"/>
      <c r="AF40" s="1159"/>
      <c r="AG40" s="1159"/>
      <c r="AH40" s="1159"/>
      <c r="AI40" s="1159"/>
      <c r="AJ40" s="1159"/>
      <c r="AK40" s="1159"/>
      <c r="AL40" s="1159"/>
      <c r="AM40" s="1159"/>
      <c r="AN40" s="1159"/>
      <c r="AO40" s="1159"/>
      <c r="AP40" s="1159"/>
      <c r="AQ40" s="1159"/>
      <c r="AR40" s="1159"/>
      <c r="AS40" s="1159"/>
      <c r="AT40" s="1159"/>
      <c r="AU40" s="1159"/>
      <c r="AV40" s="1159"/>
      <c r="AW40" s="1159"/>
      <c r="AX40" s="1159"/>
      <c r="AY40" s="1159"/>
      <c r="AZ40" s="1159"/>
      <c r="BA40" s="1159"/>
      <c r="BB40" s="1159"/>
      <c r="BC40" s="1159"/>
      <c r="BD40" s="1159"/>
      <c r="BE40" s="1159"/>
      <c r="BF40" s="1159"/>
    </row>
    <row r="41" spans="1:58" ht="15" customHeight="1" x14ac:dyDescent="0.2">
      <c r="A41" s="1159"/>
      <c r="B41" s="1159"/>
      <c r="C41" s="1159"/>
      <c r="D41" s="1159"/>
      <c r="E41" s="1159"/>
      <c r="F41" s="1159"/>
      <c r="G41" s="1159"/>
      <c r="H41" s="1159"/>
      <c r="I41" s="1159"/>
      <c r="J41" s="1159"/>
      <c r="K41" s="1159"/>
      <c r="L41" s="1159"/>
      <c r="M41" s="1159"/>
      <c r="N41" s="1159"/>
      <c r="O41" s="1159"/>
      <c r="P41" s="1159"/>
      <c r="Q41" s="1159"/>
      <c r="R41" s="1159"/>
      <c r="S41" s="1159"/>
      <c r="T41" s="1159"/>
      <c r="U41" s="1159"/>
      <c r="V41" s="1159"/>
      <c r="W41" s="1159"/>
      <c r="X41" s="1159"/>
      <c r="Y41" s="1159"/>
      <c r="Z41" s="1159"/>
      <c r="AA41" s="1159"/>
      <c r="AB41" s="1159"/>
      <c r="AC41" s="1159"/>
      <c r="AD41" s="1159"/>
      <c r="AE41" s="1159"/>
      <c r="AF41" s="1159"/>
      <c r="AG41" s="1159"/>
      <c r="AH41" s="1159"/>
      <c r="AI41" s="1159"/>
      <c r="AJ41" s="1159"/>
      <c r="AK41" s="1159"/>
      <c r="AL41" s="1159"/>
      <c r="AM41" s="1159"/>
      <c r="AN41" s="1159"/>
      <c r="AO41" s="1159"/>
      <c r="AP41" s="1159"/>
      <c r="AQ41" s="1159"/>
      <c r="AR41" s="1159"/>
      <c r="AS41" s="1159"/>
      <c r="AT41" s="1159"/>
      <c r="AU41" s="1159"/>
      <c r="AV41" s="1159"/>
      <c r="AW41" s="1159"/>
      <c r="AX41" s="1159"/>
      <c r="AY41" s="1159"/>
      <c r="AZ41" s="1159"/>
      <c r="BA41" s="1159"/>
      <c r="BB41" s="1159"/>
      <c r="BC41" s="1159"/>
      <c r="BD41" s="1159"/>
      <c r="BE41" s="1159"/>
      <c r="BF41" s="1159"/>
    </row>
    <row r="42" spans="1:58" ht="15" customHeight="1" x14ac:dyDescent="0.2">
      <c r="A42" s="1159"/>
      <c r="B42" s="1159"/>
      <c r="C42" s="1159"/>
      <c r="D42" s="1159"/>
      <c r="E42" s="1159"/>
      <c r="F42" s="1159"/>
      <c r="G42" s="1159"/>
      <c r="H42" s="1159"/>
      <c r="I42" s="1159"/>
      <c r="J42" s="1159"/>
      <c r="K42" s="1159"/>
      <c r="L42" s="1159"/>
      <c r="M42" s="1159"/>
      <c r="N42" s="1159"/>
      <c r="O42" s="1159"/>
      <c r="P42" s="1159"/>
      <c r="Q42" s="1159"/>
      <c r="R42" s="1159"/>
      <c r="S42" s="1159"/>
      <c r="T42" s="1159"/>
      <c r="U42" s="1159"/>
      <c r="V42" s="1159"/>
      <c r="W42" s="1159"/>
      <c r="X42" s="1159"/>
      <c r="Y42" s="1159"/>
      <c r="Z42" s="1159"/>
      <c r="AA42" s="1159"/>
      <c r="AB42" s="1159"/>
      <c r="AC42" s="1159"/>
      <c r="AD42" s="1159"/>
      <c r="AE42" s="1159"/>
      <c r="AF42" s="1159"/>
      <c r="AG42" s="1159"/>
      <c r="AH42" s="1159"/>
      <c r="AI42" s="1159"/>
      <c r="AJ42" s="1159"/>
      <c r="AK42" s="1159"/>
      <c r="AL42" s="1159"/>
      <c r="AM42" s="1159"/>
      <c r="AN42" s="1159"/>
      <c r="AO42" s="1159"/>
      <c r="AP42" s="1159"/>
      <c r="AQ42" s="1159"/>
      <c r="AR42" s="1159"/>
      <c r="AS42" s="1159"/>
      <c r="AT42" s="1159"/>
      <c r="AU42" s="1159"/>
      <c r="AV42" s="1159"/>
      <c r="AW42" s="1159"/>
      <c r="AX42" s="1159"/>
      <c r="AY42" s="1159"/>
      <c r="AZ42" s="1159"/>
      <c r="BA42" s="1159"/>
      <c r="BB42" s="1159"/>
      <c r="BC42" s="1159"/>
      <c r="BD42" s="1159"/>
      <c r="BE42" s="1159"/>
      <c r="BF42" s="1159"/>
    </row>
    <row r="43" spans="1:58" ht="15" customHeight="1" x14ac:dyDescent="0.2">
      <c r="A43" s="1159"/>
      <c r="B43" s="1159"/>
      <c r="C43" s="1159"/>
      <c r="D43" s="1159"/>
      <c r="E43" s="1159"/>
      <c r="F43" s="1159"/>
      <c r="G43" s="1159"/>
      <c r="H43" s="1159"/>
      <c r="I43" s="1159"/>
      <c r="J43" s="1159"/>
      <c r="K43" s="1159"/>
      <c r="L43" s="1159"/>
      <c r="M43" s="1159"/>
      <c r="N43" s="1159"/>
      <c r="O43" s="1159"/>
      <c r="P43" s="1159"/>
      <c r="Q43" s="1159"/>
      <c r="R43" s="1159"/>
      <c r="S43" s="1159"/>
      <c r="T43" s="1159"/>
      <c r="U43" s="1159"/>
      <c r="V43" s="1159"/>
      <c r="W43" s="1159"/>
      <c r="X43" s="1159"/>
      <c r="Y43" s="1159"/>
      <c r="Z43" s="1159"/>
      <c r="AA43" s="1159"/>
      <c r="AB43" s="1159"/>
      <c r="AC43" s="1159"/>
      <c r="AD43" s="1159"/>
      <c r="AE43" s="1159"/>
      <c r="AF43" s="1159"/>
      <c r="AG43" s="1159"/>
      <c r="AH43" s="1159"/>
      <c r="AI43" s="1159"/>
      <c r="AJ43" s="1159"/>
      <c r="AK43" s="1159"/>
      <c r="AL43" s="1159"/>
      <c r="AM43" s="1159"/>
      <c r="AN43" s="1159"/>
      <c r="AO43" s="1159"/>
      <c r="AP43" s="1159"/>
      <c r="AQ43" s="1159"/>
      <c r="AR43" s="1159"/>
      <c r="AS43" s="1159"/>
      <c r="AT43" s="1159"/>
      <c r="AU43" s="1159"/>
      <c r="AV43" s="1159"/>
      <c r="AW43" s="1159"/>
      <c r="AX43" s="1159"/>
      <c r="AY43" s="1159"/>
      <c r="AZ43" s="1159"/>
      <c r="BA43" s="1159"/>
      <c r="BB43" s="1159"/>
      <c r="BC43" s="1159"/>
      <c r="BD43" s="1159"/>
      <c r="BE43" s="1159"/>
      <c r="BF43" s="1159"/>
    </row>
    <row r="44" spans="1:58" ht="15" customHeight="1" x14ac:dyDescent="0.2">
      <c r="A44" s="1159"/>
      <c r="B44" s="1159"/>
      <c r="C44" s="1159"/>
      <c r="D44" s="1159"/>
      <c r="E44" s="1159"/>
      <c r="F44" s="1159"/>
      <c r="G44" s="1159"/>
      <c r="H44" s="1159"/>
      <c r="I44" s="1159"/>
      <c r="J44" s="1159"/>
      <c r="K44" s="1159"/>
      <c r="L44" s="1159"/>
      <c r="M44" s="1159"/>
      <c r="N44" s="1159"/>
      <c r="O44" s="1159"/>
      <c r="P44" s="1159"/>
      <c r="Q44" s="1159"/>
      <c r="R44" s="1159"/>
      <c r="S44" s="1159"/>
      <c r="T44" s="1159"/>
      <c r="U44" s="1159"/>
      <c r="V44" s="1159"/>
      <c r="W44" s="1159"/>
      <c r="X44" s="1159"/>
      <c r="Y44" s="1159"/>
      <c r="Z44" s="1159"/>
      <c r="AA44" s="1159"/>
      <c r="AB44" s="1159"/>
      <c r="AC44" s="1159"/>
      <c r="AD44" s="1159"/>
      <c r="AE44" s="1159"/>
      <c r="AF44" s="1159"/>
      <c r="AG44" s="1159"/>
      <c r="AH44" s="1159"/>
      <c r="AI44" s="1159"/>
      <c r="AJ44" s="1159"/>
      <c r="AK44" s="1159"/>
      <c r="AL44" s="1159"/>
      <c r="AM44" s="1159"/>
      <c r="AN44" s="1159"/>
      <c r="AO44" s="1159"/>
      <c r="AP44" s="1159"/>
      <c r="AQ44" s="1159"/>
      <c r="AR44" s="1159"/>
      <c r="AS44" s="1159"/>
      <c r="AT44" s="1159"/>
      <c r="AU44" s="1159"/>
      <c r="AV44" s="1159"/>
      <c r="AW44" s="1159"/>
      <c r="AX44" s="1159"/>
      <c r="AY44" s="1159"/>
      <c r="AZ44" s="1159"/>
      <c r="BA44" s="1159"/>
      <c r="BB44" s="1159"/>
      <c r="BC44" s="1159"/>
      <c r="BD44" s="1159"/>
      <c r="BE44" s="1159"/>
      <c r="BF44" s="1159"/>
    </row>
    <row r="45" spans="1:58" ht="15" customHeight="1" x14ac:dyDescent="0.2">
      <c r="A45" s="1159"/>
      <c r="B45" s="1159"/>
      <c r="C45" s="1159"/>
      <c r="D45" s="1159"/>
      <c r="E45" s="1159"/>
      <c r="F45" s="1159"/>
      <c r="G45" s="1159"/>
      <c r="H45" s="1159"/>
      <c r="I45" s="1159"/>
      <c r="J45" s="1159"/>
      <c r="K45" s="1159"/>
      <c r="L45" s="1159"/>
      <c r="M45" s="1159"/>
      <c r="N45" s="1159"/>
      <c r="O45" s="1159"/>
      <c r="P45" s="1159"/>
      <c r="Q45" s="1159"/>
      <c r="R45" s="1159"/>
      <c r="S45" s="1159"/>
      <c r="T45" s="1159"/>
      <c r="U45" s="1159"/>
      <c r="V45" s="1159"/>
      <c r="W45" s="1159"/>
      <c r="X45" s="1159"/>
      <c r="Y45" s="1159"/>
      <c r="Z45" s="1159"/>
      <c r="AA45" s="1159"/>
      <c r="AB45" s="1159"/>
      <c r="AC45" s="1159"/>
      <c r="AD45" s="1159"/>
      <c r="AE45" s="1159"/>
      <c r="AF45" s="1159"/>
      <c r="AG45" s="1159"/>
      <c r="AH45" s="1159"/>
      <c r="AI45" s="1159"/>
      <c r="AJ45" s="1159"/>
      <c r="AK45" s="1159"/>
      <c r="AL45" s="1159"/>
      <c r="AM45" s="1159"/>
      <c r="AN45" s="1159"/>
      <c r="AO45" s="1159"/>
      <c r="AP45" s="1159"/>
      <c r="AQ45" s="1159"/>
      <c r="AR45" s="1159"/>
      <c r="AS45" s="1159"/>
      <c r="AT45" s="1159"/>
      <c r="AU45" s="1159"/>
      <c r="AV45" s="1159"/>
      <c r="AW45" s="1159"/>
      <c r="AX45" s="1159"/>
      <c r="AY45" s="1159"/>
      <c r="AZ45" s="1159"/>
      <c r="BA45" s="1159"/>
      <c r="BB45" s="1159"/>
      <c r="BC45" s="1159"/>
      <c r="BD45" s="1159"/>
      <c r="BE45" s="1159"/>
      <c r="BF45" s="1159"/>
    </row>
    <row r="46" spans="1:58" ht="15" customHeight="1" x14ac:dyDescent="0.2">
      <c r="A46" s="1159"/>
      <c r="B46" s="1159"/>
      <c r="C46" s="1159"/>
      <c r="D46" s="1159"/>
      <c r="E46" s="1159"/>
      <c r="F46" s="1159"/>
      <c r="G46" s="1159"/>
      <c r="H46" s="1159"/>
      <c r="I46" s="1159"/>
      <c r="J46" s="1159"/>
      <c r="K46" s="1159"/>
      <c r="L46" s="1159"/>
      <c r="M46" s="1159"/>
      <c r="N46" s="1159"/>
      <c r="O46" s="1159"/>
      <c r="P46" s="1159"/>
      <c r="Q46" s="1159"/>
      <c r="R46" s="1159"/>
      <c r="S46" s="1159"/>
      <c r="T46" s="1159"/>
      <c r="U46" s="1159"/>
      <c r="V46" s="1159"/>
      <c r="W46" s="1159"/>
      <c r="X46" s="1159"/>
      <c r="Y46" s="1159"/>
      <c r="Z46" s="1159"/>
      <c r="AA46" s="1159"/>
      <c r="AB46" s="1159"/>
      <c r="AC46" s="1159"/>
      <c r="AD46" s="1159"/>
      <c r="AE46" s="1159"/>
      <c r="AF46" s="1159"/>
      <c r="AG46" s="1159"/>
      <c r="AH46" s="1159"/>
      <c r="AI46" s="1159"/>
      <c r="AJ46" s="1159"/>
      <c r="AK46" s="1159"/>
      <c r="AL46" s="1159"/>
      <c r="AM46" s="1159"/>
      <c r="AN46" s="1159"/>
      <c r="AO46" s="1159"/>
      <c r="AP46" s="1159"/>
      <c r="AQ46" s="1159"/>
      <c r="AR46" s="1159"/>
      <c r="AS46" s="1159"/>
      <c r="AT46" s="1159"/>
      <c r="AU46" s="1159"/>
      <c r="AV46" s="1159"/>
      <c r="AW46" s="1159"/>
      <c r="AX46" s="1159"/>
      <c r="AY46" s="1159"/>
      <c r="AZ46" s="1159"/>
      <c r="BA46" s="1159"/>
      <c r="BB46" s="1159"/>
      <c r="BC46" s="1159"/>
      <c r="BD46" s="1159"/>
      <c r="BE46" s="1159"/>
      <c r="BF46" s="1159"/>
    </row>
    <row r="47" spans="1:58" ht="15" customHeight="1" x14ac:dyDescent="0.2">
      <c r="A47" s="1159"/>
      <c r="B47" s="1159"/>
      <c r="C47" s="1159"/>
      <c r="D47" s="1159"/>
      <c r="E47" s="1159"/>
      <c r="F47" s="1159"/>
      <c r="G47" s="1159"/>
      <c r="H47" s="1159"/>
      <c r="I47" s="1159"/>
      <c r="J47" s="1159"/>
      <c r="K47" s="1159"/>
      <c r="L47" s="1159"/>
      <c r="M47" s="1159"/>
      <c r="N47" s="1159"/>
      <c r="O47" s="1159"/>
      <c r="P47" s="1159"/>
      <c r="Q47" s="1159"/>
      <c r="R47" s="1159"/>
      <c r="S47" s="1159"/>
      <c r="T47" s="1159"/>
      <c r="U47" s="1159"/>
      <c r="V47" s="1159"/>
      <c r="W47" s="1159"/>
      <c r="X47" s="1159"/>
      <c r="Y47" s="1159"/>
      <c r="Z47" s="1159"/>
      <c r="AA47" s="1159"/>
      <c r="AB47" s="1159"/>
      <c r="AC47" s="1159"/>
      <c r="AD47" s="1159"/>
      <c r="AE47" s="1159"/>
      <c r="AF47" s="1159"/>
      <c r="AG47" s="1159"/>
      <c r="AH47" s="1159"/>
      <c r="AI47" s="1159"/>
      <c r="AJ47" s="1159"/>
      <c r="AK47" s="1159"/>
      <c r="AL47" s="1159"/>
      <c r="AM47" s="1159"/>
      <c r="AN47" s="1159"/>
      <c r="AO47" s="1159"/>
      <c r="AP47" s="1159"/>
      <c r="AQ47" s="1159"/>
      <c r="AR47" s="1159"/>
      <c r="AS47" s="1159"/>
      <c r="AT47" s="1159"/>
      <c r="AU47" s="1159"/>
      <c r="AV47" s="1159"/>
      <c r="AW47" s="1159"/>
      <c r="AX47" s="1159"/>
      <c r="AY47" s="1159"/>
      <c r="AZ47" s="1159"/>
      <c r="BA47" s="1159"/>
      <c r="BB47" s="1159"/>
      <c r="BC47" s="1159"/>
      <c r="BD47" s="1159"/>
      <c r="BE47" s="1159"/>
      <c r="BF47" s="1159"/>
    </row>
    <row r="48" spans="1:58" ht="15" customHeight="1" x14ac:dyDescent="0.2">
      <c r="A48" s="1159"/>
      <c r="B48" s="1159"/>
      <c r="C48" s="1159"/>
      <c r="D48" s="1159"/>
      <c r="E48" s="1159"/>
      <c r="F48" s="1159"/>
      <c r="G48" s="1159"/>
      <c r="H48" s="1159"/>
      <c r="I48" s="1159"/>
      <c r="J48" s="1159"/>
      <c r="K48" s="1159"/>
      <c r="L48" s="1159"/>
      <c r="M48" s="1159"/>
      <c r="N48" s="1159"/>
      <c r="O48" s="1159"/>
      <c r="P48" s="1159"/>
      <c r="Q48" s="1159"/>
      <c r="R48" s="1159"/>
      <c r="S48" s="1159"/>
      <c r="T48" s="1159"/>
      <c r="U48" s="1159"/>
      <c r="V48" s="1159"/>
      <c r="W48" s="1159"/>
      <c r="X48" s="1159"/>
      <c r="Y48" s="1159"/>
      <c r="Z48" s="1159"/>
      <c r="AA48" s="1159"/>
      <c r="AB48" s="1159"/>
      <c r="AC48" s="1159"/>
      <c r="AD48" s="1159"/>
      <c r="AE48" s="1159"/>
      <c r="AF48" s="1159"/>
      <c r="AG48" s="1159"/>
      <c r="AH48" s="1159"/>
      <c r="AI48" s="1159"/>
      <c r="AJ48" s="1159"/>
      <c r="AK48" s="1159"/>
      <c r="AL48" s="1159"/>
      <c r="AM48" s="1159"/>
      <c r="AN48" s="1159"/>
      <c r="AO48" s="1159"/>
      <c r="AP48" s="1159"/>
      <c r="AQ48" s="1159"/>
      <c r="AR48" s="1159"/>
      <c r="AS48" s="1159"/>
      <c r="AT48" s="1159"/>
      <c r="AU48" s="1159"/>
      <c r="AV48" s="1159"/>
      <c r="AW48" s="1159"/>
      <c r="AX48" s="1159"/>
      <c r="AY48" s="1159"/>
      <c r="AZ48" s="1159"/>
      <c r="BA48" s="1159"/>
      <c r="BB48" s="1159"/>
      <c r="BC48" s="1159"/>
      <c r="BD48" s="1159"/>
      <c r="BE48" s="1159"/>
      <c r="BF48" s="1159"/>
    </row>
    <row r="49" spans="1:58" ht="15" customHeight="1" x14ac:dyDescent="0.2">
      <c r="A49" s="1159"/>
      <c r="B49" s="1159"/>
      <c r="C49" s="1159"/>
      <c r="D49" s="1159"/>
      <c r="E49" s="1159"/>
      <c r="F49" s="1159"/>
      <c r="G49" s="1159"/>
      <c r="H49" s="1159"/>
      <c r="I49" s="1159"/>
      <c r="J49" s="1159"/>
      <c r="K49" s="1159"/>
      <c r="L49" s="1159"/>
      <c r="M49" s="1159"/>
      <c r="N49" s="1159"/>
      <c r="O49" s="1159"/>
      <c r="P49" s="1159"/>
      <c r="Q49" s="1159"/>
      <c r="R49" s="1159"/>
      <c r="S49" s="1159"/>
      <c r="T49" s="1159"/>
      <c r="U49" s="1159"/>
      <c r="V49" s="1159"/>
      <c r="W49" s="1159"/>
      <c r="X49" s="1159"/>
      <c r="Y49" s="1159"/>
      <c r="Z49" s="1159"/>
      <c r="AA49" s="1159"/>
      <c r="AB49" s="1159"/>
      <c r="AC49" s="1159"/>
      <c r="AD49" s="1159"/>
      <c r="AE49" s="1159"/>
      <c r="AF49" s="1159"/>
      <c r="AG49" s="1159"/>
      <c r="AH49" s="1159"/>
      <c r="AI49" s="1159"/>
      <c r="AJ49" s="1159"/>
      <c r="AK49" s="1159"/>
      <c r="AL49" s="1159"/>
      <c r="AM49" s="1159"/>
      <c r="AN49" s="1159"/>
      <c r="AO49" s="1159"/>
      <c r="AP49" s="1159"/>
      <c r="AQ49" s="1159"/>
      <c r="AR49" s="1159"/>
      <c r="AS49" s="1159"/>
      <c r="AT49" s="1159"/>
      <c r="AU49" s="1159"/>
      <c r="AV49" s="1159"/>
      <c r="AW49" s="1159"/>
      <c r="AX49" s="1159"/>
      <c r="AY49" s="1159"/>
      <c r="AZ49" s="1159"/>
      <c r="BA49" s="1159"/>
      <c r="BB49" s="1159"/>
      <c r="BC49" s="1159"/>
      <c r="BD49" s="1159"/>
      <c r="BE49" s="1159"/>
      <c r="BF49" s="1159"/>
    </row>
    <row r="50" spans="1:58" ht="15" customHeight="1" x14ac:dyDescent="0.2">
      <c r="A50" s="1159"/>
      <c r="B50" s="1159"/>
      <c r="C50" s="1159"/>
      <c r="D50" s="1159"/>
      <c r="E50" s="1159"/>
      <c r="F50" s="1159"/>
      <c r="G50" s="1159"/>
      <c r="H50" s="1159"/>
      <c r="I50" s="1159"/>
      <c r="J50" s="1159"/>
      <c r="K50" s="1159"/>
      <c r="L50" s="1159"/>
      <c r="M50" s="1159"/>
      <c r="N50" s="1159"/>
      <c r="O50" s="1159"/>
      <c r="P50" s="1159"/>
      <c r="Q50" s="1159"/>
      <c r="R50" s="1159"/>
      <c r="S50" s="1159"/>
      <c r="T50" s="1159"/>
      <c r="U50" s="1159"/>
      <c r="V50" s="1159"/>
      <c r="W50" s="1159"/>
      <c r="X50" s="1159"/>
      <c r="Y50" s="1159"/>
      <c r="Z50" s="1159"/>
      <c r="AA50" s="1159"/>
      <c r="AB50" s="1159"/>
      <c r="AC50" s="1159"/>
      <c r="AD50" s="1159"/>
      <c r="AE50" s="1159"/>
      <c r="AF50" s="1159"/>
      <c r="AG50" s="1159"/>
      <c r="AH50" s="1159"/>
      <c r="AI50" s="1159"/>
      <c r="AJ50" s="1159"/>
      <c r="AK50" s="1159"/>
      <c r="AL50" s="1159"/>
      <c r="AM50" s="1159"/>
      <c r="AN50" s="1159"/>
      <c r="AO50" s="1159"/>
      <c r="AP50" s="1159"/>
      <c r="AQ50" s="1159"/>
      <c r="AR50" s="1159"/>
      <c r="AS50" s="1159"/>
      <c r="AT50" s="1159"/>
      <c r="AU50" s="1159"/>
      <c r="AV50" s="1159"/>
      <c r="AW50" s="1159"/>
      <c r="AX50" s="1159"/>
      <c r="AY50" s="1159"/>
      <c r="AZ50" s="1159"/>
      <c r="BA50" s="1159"/>
      <c r="BB50" s="1159"/>
      <c r="BC50" s="1159"/>
      <c r="BD50" s="1159"/>
      <c r="BE50" s="1159"/>
      <c r="BF50" s="1159"/>
    </row>
    <row r="51" spans="1:58" ht="15" customHeight="1" x14ac:dyDescent="0.2">
      <c r="A51" s="1159"/>
      <c r="B51" s="1159"/>
      <c r="C51" s="1159"/>
      <c r="D51" s="1159"/>
      <c r="E51" s="1159"/>
      <c r="F51" s="1159"/>
      <c r="G51" s="1159"/>
      <c r="H51" s="1159"/>
      <c r="I51" s="1159"/>
      <c r="J51" s="1159"/>
      <c r="K51" s="1159"/>
      <c r="L51" s="1159"/>
      <c r="M51" s="1159"/>
      <c r="N51" s="1159"/>
      <c r="O51" s="1159"/>
      <c r="P51" s="1159"/>
      <c r="Q51" s="1159"/>
      <c r="R51" s="1159"/>
      <c r="S51" s="1159"/>
      <c r="T51" s="1159"/>
      <c r="U51" s="1159"/>
      <c r="V51" s="1159"/>
      <c r="W51" s="1159"/>
      <c r="X51" s="1159"/>
      <c r="Y51" s="1159"/>
      <c r="Z51" s="1159"/>
      <c r="AA51" s="1159"/>
      <c r="AB51" s="1159"/>
      <c r="AC51" s="1159"/>
      <c r="AD51" s="1159"/>
      <c r="AE51" s="1159"/>
      <c r="AF51" s="1159"/>
      <c r="AG51" s="1159"/>
      <c r="AH51" s="1159"/>
      <c r="AI51" s="1159"/>
      <c r="AJ51" s="1159"/>
      <c r="AK51" s="1159"/>
      <c r="AL51" s="1159"/>
      <c r="AM51" s="1159"/>
      <c r="AN51" s="1159"/>
      <c r="AO51" s="1159"/>
      <c r="AP51" s="1159"/>
      <c r="AQ51" s="1159"/>
      <c r="AR51" s="1159"/>
      <c r="AS51" s="1159"/>
      <c r="AT51" s="1159"/>
      <c r="AU51" s="1159"/>
      <c r="AV51" s="1159"/>
      <c r="AW51" s="1159"/>
      <c r="AX51" s="1159"/>
      <c r="AY51" s="1159"/>
      <c r="AZ51" s="1159"/>
      <c r="BA51" s="1159"/>
      <c r="BB51" s="1159"/>
      <c r="BC51" s="1159"/>
      <c r="BD51" s="1159"/>
      <c r="BE51" s="1159"/>
      <c r="BF51" s="1159"/>
    </row>
    <row r="52" spans="1:58" ht="15" customHeight="1" x14ac:dyDescent="0.2">
      <c r="A52" s="1159"/>
      <c r="B52" s="1159"/>
      <c r="C52" s="1159"/>
      <c r="D52" s="1159"/>
      <c r="E52" s="1159"/>
      <c r="F52" s="1159"/>
      <c r="G52" s="1159"/>
      <c r="H52" s="1159"/>
      <c r="I52" s="1159"/>
      <c r="J52" s="1159"/>
      <c r="K52" s="1159"/>
      <c r="L52" s="1159"/>
      <c r="M52" s="1159"/>
      <c r="N52" s="1159"/>
      <c r="O52" s="1159"/>
      <c r="P52" s="1159"/>
      <c r="Q52" s="1159"/>
      <c r="R52" s="1159"/>
      <c r="S52" s="1159"/>
      <c r="T52" s="1159"/>
      <c r="U52" s="1159"/>
      <c r="V52" s="1159"/>
      <c r="W52" s="1159"/>
      <c r="X52" s="1159"/>
      <c r="Y52" s="1159"/>
      <c r="Z52" s="1159"/>
      <c r="AA52" s="1159"/>
      <c r="AB52" s="1159"/>
      <c r="AC52" s="1159"/>
      <c r="AD52" s="1159"/>
      <c r="AE52" s="1159"/>
      <c r="AF52" s="1159"/>
      <c r="AG52" s="1159"/>
      <c r="AH52" s="1159"/>
      <c r="AI52" s="1159"/>
      <c r="AJ52" s="1159"/>
      <c r="AK52" s="1159"/>
      <c r="AL52" s="1159"/>
      <c r="AM52" s="1159"/>
      <c r="AN52" s="1159"/>
      <c r="AO52" s="1159"/>
      <c r="AP52" s="1159"/>
      <c r="AQ52" s="1159"/>
      <c r="AR52" s="1159"/>
      <c r="AS52" s="1159"/>
      <c r="AT52" s="1159"/>
      <c r="AU52" s="1159"/>
      <c r="AV52" s="1159"/>
      <c r="AW52" s="1159"/>
      <c r="AX52" s="1159"/>
      <c r="AY52" s="1159"/>
      <c r="AZ52" s="1159"/>
      <c r="BA52" s="1159"/>
      <c r="BB52" s="1159"/>
      <c r="BC52" s="1159"/>
      <c r="BD52" s="1159"/>
      <c r="BE52" s="1159"/>
      <c r="BF52" s="1159"/>
    </row>
    <row r="53" spans="1:58" ht="15" customHeight="1" x14ac:dyDescent="0.2">
      <c r="A53" s="1159"/>
      <c r="B53" s="1159"/>
      <c r="C53" s="1159"/>
      <c r="D53" s="1159"/>
      <c r="E53" s="1159"/>
      <c r="F53" s="1159"/>
      <c r="G53" s="1159"/>
      <c r="H53" s="1159"/>
      <c r="I53" s="1159"/>
      <c r="J53" s="1159"/>
      <c r="K53" s="1159"/>
      <c r="L53" s="1159"/>
      <c r="M53" s="1159"/>
      <c r="N53" s="1159"/>
      <c r="O53" s="1159"/>
      <c r="P53" s="1159"/>
      <c r="Q53" s="1159"/>
      <c r="R53" s="1159"/>
      <c r="S53" s="1159"/>
      <c r="T53" s="1159"/>
      <c r="U53" s="1159"/>
      <c r="V53" s="1159"/>
      <c r="W53" s="1159"/>
      <c r="X53" s="1159"/>
      <c r="Y53" s="1159"/>
      <c r="Z53" s="1159"/>
      <c r="AA53" s="1159"/>
      <c r="AB53" s="1159"/>
      <c r="AC53" s="1159"/>
      <c r="AD53" s="1159"/>
      <c r="AE53" s="1159"/>
      <c r="AF53" s="1159"/>
      <c r="AG53" s="1159"/>
      <c r="AH53" s="1159"/>
      <c r="AI53" s="1159"/>
      <c r="AJ53" s="1159"/>
      <c r="AK53" s="1159"/>
      <c r="AL53" s="1159"/>
      <c r="AM53" s="1159"/>
      <c r="AN53" s="1159"/>
      <c r="AO53" s="1159"/>
      <c r="AP53" s="1159"/>
      <c r="AQ53" s="1159"/>
      <c r="AR53" s="1159"/>
      <c r="AS53" s="1159"/>
      <c r="AT53" s="1159"/>
      <c r="AU53" s="1159"/>
      <c r="AV53" s="1159"/>
      <c r="AW53" s="1159"/>
      <c r="AX53" s="1159"/>
      <c r="AY53" s="1159"/>
      <c r="AZ53" s="1159"/>
      <c r="BA53" s="1159"/>
      <c r="BB53" s="1159"/>
      <c r="BC53" s="1159"/>
      <c r="BD53" s="1159"/>
      <c r="BE53" s="1159"/>
      <c r="BF53" s="1159"/>
    </row>
    <row r="54" spans="1:58" ht="15" customHeight="1" x14ac:dyDescent="0.2">
      <c r="A54" s="1159"/>
      <c r="B54" s="1159"/>
      <c r="C54" s="1159"/>
      <c r="D54" s="1159"/>
      <c r="E54" s="1159"/>
      <c r="F54" s="1159"/>
      <c r="G54" s="1159"/>
      <c r="H54" s="1159"/>
      <c r="I54" s="1159"/>
      <c r="J54" s="1159"/>
      <c r="K54" s="1159"/>
      <c r="L54" s="1159"/>
      <c r="M54" s="1159"/>
      <c r="N54" s="1159"/>
      <c r="O54" s="1159"/>
      <c r="P54" s="1159"/>
      <c r="Q54" s="1159"/>
      <c r="R54" s="1159"/>
      <c r="S54" s="1159"/>
      <c r="T54" s="1159"/>
      <c r="U54" s="1159"/>
      <c r="V54" s="1159"/>
      <c r="W54" s="1159"/>
      <c r="X54" s="1159"/>
      <c r="Y54" s="1159"/>
      <c r="Z54" s="1159"/>
      <c r="AA54" s="1159"/>
      <c r="AB54" s="1159"/>
      <c r="AC54" s="1159"/>
      <c r="AD54" s="1159"/>
      <c r="AE54" s="1159"/>
      <c r="AF54" s="1159"/>
      <c r="AG54" s="1159"/>
      <c r="AH54" s="1159"/>
      <c r="AI54" s="1159"/>
      <c r="AJ54" s="1159"/>
      <c r="AK54" s="1159"/>
      <c r="AL54" s="1159"/>
      <c r="AM54" s="1159"/>
      <c r="AN54" s="1159"/>
      <c r="AO54" s="1159"/>
      <c r="AP54" s="1159"/>
      <c r="AQ54" s="1159"/>
      <c r="AR54" s="1159"/>
      <c r="AS54" s="1159"/>
      <c r="AT54" s="1159"/>
      <c r="AU54" s="1159"/>
      <c r="AV54" s="1159"/>
      <c r="AW54" s="1159"/>
      <c r="AX54" s="1159"/>
      <c r="AY54" s="1159"/>
      <c r="AZ54" s="1159"/>
      <c r="BA54" s="1159"/>
      <c r="BB54" s="1159"/>
      <c r="BC54" s="1159"/>
      <c r="BD54" s="1159"/>
      <c r="BE54" s="1159"/>
      <c r="BF54" s="1159"/>
    </row>
    <row r="55" spans="1:58" ht="15" customHeight="1" x14ac:dyDescent="0.2">
      <c r="A55" s="1159"/>
      <c r="B55" s="1159"/>
      <c r="C55" s="1159"/>
      <c r="D55" s="1159"/>
      <c r="E55" s="1159"/>
      <c r="F55" s="1159"/>
      <c r="G55" s="1159"/>
      <c r="H55" s="1159"/>
      <c r="I55" s="1159"/>
      <c r="J55" s="1159"/>
      <c r="K55" s="1159"/>
      <c r="L55" s="1159"/>
      <c r="M55" s="1159"/>
      <c r="N55" s="1159"/>
      <c r="O55" s="1159"/>
      <c r="P55" s="1159"/>
      <c r="Q55" s="1159"/>
      <c r="R55" s="1159"/>
      <c r="S55" s="1159"/>
      <c r="T55" s="1159"/>
      <c r="U55" s="1159"/>
      <c r="V55" s="1159"/>
      <c r="W55" s="1159"/>
      <c r="X55" s="1159"/>
      <c r="Y55" s="1159"/>
      <c r="Z55" s="1159"/>
      <c r="AA55" s="1159"/>
      <c r="AB55" s="1159"/>
      <c r="AC55" s="1159"/>
      <c r="AD55" s="1159"/>
      <c r="AE55" s="1159"/>
      <c r="AF55" s="1159"/>
      <c r="AG55" s="1159"/>
      <c r="AH55" s="1159"/>
      <c r="AI55" s="1159"/>
      <c r="AJ55" s="1159"/>
      <c r="AK55" s="1159"/>
      <c r="AL55" s="1159"/>
      <c r="AM55" s="1159"/>
      <c r="AN55" s="1159"/>
      <c r="AO55" s="1159"/>
      <c r="AP55" s="1159"/>
      <c r="AQ55" s="1159"/>
      <c r="AR55" s="1159"/>
      <c r="AS55" s="1159"/>
      <c r="AT55" s="1159"/>
      <c r="AU55" s="1159"/>
      <c r="AV55" s="1159"/>
      <c r="AW55" s="1159"/>
      <c r="AX55" s="1159"/>
      <c r="AY55" s="1159"/>
      <c r="AZ55" s="1159"/>
      <c r="BA55" s="1159"/>
      <c r="BB55" s="1159"/>
      <c r="BC55" s="1159"/>
      <c r="BD55" s="1159"/>
      <c r="BE55" s="1159"/>
      <c r="BF55" s="1159"/>
    </row>
    <row r="56" spans="1:58" ht="15" customHeight="1" x14ac:dyDescent="0.2">
      <c r="A56" s="1159"/>
      <c r="B56" s="1159"/>
      <c r="C56" s="1159"/>
      <c r="D56" s="1159"/>
      <c r="E56" s="1159"/>
      <c r="F56" s="1159"/>
      <c r="G56" s="1159"/>
      <c r="H56" s="1159"/>
      <c r="I56" s="1159"/>
      <c r="J56" s="1159"/>
      <c r="K56" s="1159"/>
      <c r="L56" s="1159"/>
      <c r="M56" s="1159"/>
      <c r="N56" s="1159"/>
      <c r="O56" s="1159"/>
      <c r="P56" s="1159"/>
      <c r="Q56" s="1159"/>
      <c r="R56" s="1159"/>
      <c r="S56" s="1159"/>
      <c r="T56" s="1159"/>
      <c r="U56" s="1159"/>
      <c r="V56" s="1159"/>
      <c r="W56" s="1159"/>
      <c r="X56" s="1159"/>
      <c r="Y56" s="1159"/>
      <c r="Z56" s="1159"/>
      <c r="AA56" s="1159"/>
      <c r="AB56" s="1159"/>
      <c r="AC56" s="1159"/>
      <c r="AD56" s="1159"/>
      <c r="AE56" s="1159"/>
      <c r="AF56" s="1159"/>
      <c r="AG56" s="1159"/>
      <c r="AH56" s="1159"/>
      <c r="AI56" s="1159"/>
      <c r="AJ56" s="1159"/>
      <c r="AK56" s="1159"/>
      <c r="AL56" s="1159"/>
      <c r="AM56" s="1159"/>
      <c r="AN56" s="1159"/>
      <c r="AO56" s="1159"/>
      <c r="AP56" s="1159"/>
      <c r="AQ56" s="1159"/>
      <c r="AR56" s="1159"/>
      <c r="AS56" s="1159"/>
      <c r="AT56" s="1159"/>
      <c r="AU56" s="1159"/>
      <c r="AV56" s="1159"/>
      <c r="AW56" s="1159"/>
      <c r="AX56" s="1159"/>
      <c r="AY56" s="1159"/>
      <c r="AZ56" s="1159"/>
      <c r="BA56" s="1159"/>
      <c r="BB56" s="1159"/>
      <c r="BC56" s="1159"/>
      <c r="BD56" s="1159"/>
      <c r="BE56" s="1159"/>
      <c r="BF56" s="1159"/>
    </row>
    <row r="57" spans="1:58" ht="15" customHeight="1" x14ac:dyDescent="0.2">
      <c r="A57" s="1159"/>
      <c r="B57" s="1159"/>
      <c r="C57" s="1159"/>
      <c r="D57" s="1159"/>
      <c r="E57" s="1159"/>
      <c r="F57" s="1159"/>
      <c r="G57" s="1159"/>
      <c r="H57" s="1159"/>
      <c r="I57" s="1159"/>
      <c r="J57" s="1159"/>
      <c r="K57" s="1159"/>
      <c r="L57" s="1159"/>
      <c r="M57" s="1159"/>
      <c r="N57" s="1159"/>
      <c r="O57" s="1159"/>
      <c r="P57" s="1159"/>
      <c r="Q57" s="1159"/>
      <c r="R57" s="1159"/>
      <c r="S57" s="1159"/>
      <c r="T57" s="1159"/>
      <c r="U57" s="1159"/>
      <c r="V57" s="1159"/>
      <c r="W57" s="1159"/>
      <c r="X57" s="1159"/>
      <c r="Y57" s="1159"/>
      <c r="Z57" s="1159"/>
      <c r="AA57" s="1159"/>
      <c r="AB57" s="1159"/>
      <c r="AC57" s="1159"/>
      <c r="AD57" s="1159"/>
      <c r="AE57" s="1159"/>
      <c r="AF57" s="1159"/>
      <c r="AG57" s="1159"/>
      <c r="AH57" s="1159"/>
      <c r="AI57" s="1159"/>
      <c r="AJ57" s="1159"/>
      <c r="AK57" s="1159"/>
      <c r="AL57" s="1159"/>
      <c r="AM57" s="1159"/>
      <c r="AN57" s="1159"/>
      <c r="AO57" s="1159"/>
      <c r="AP57" s="1159"/>
      <c r="AQ57" s="1159"/>
      <c r="AR57" s="1159"/>
      <c r="AS57" s="1159"/>
      <c r="AT57" s="1159"/>
      <c r="AU57" s="1159"/>
      <c r="AV57" s="1159"/>
      <c r="AW57" s="1159"/>
      <c r="AX57" s="1159"/>
      <c r="AY57" s="1159"/>
      <c r="AZ57" s="1159"/>
      <c r="BA57" s="1159"/>
      <c r="BB57" s="1159"/>
      <c r="BC57" s="1159"/>
      <c r="BD57" s="1159"/>
      <c r="BE57" s="1159"/>
      <c r="BF57" s="1159"/>
    </row>
    <row r="58" spans="1:58" ht="15" customHeight="1" x14ac:dyDescent="0.2">
      <c r="A58" s="1159"/>
      <c r="B58" s="1159"/>
      <c r="C58" s="1159"/>
      <c r="D58" s="1159"/>
      <c r="E58" s="1159"/>
      <c r="F58" s="1159"/>
      <c r="G58" s="1159"/>
      <c r="H58" s="1159"/>
      <c r="I58" s="1159"/>
      <c r="J58" s="1159"/>
      <c r="K58" s="1159"/>
      <c r="L58" s="1159"/>
      <c r="M58" s="1159"/>
      <c r="N58" s="1159"/>
      <c r="O58" s="1159"/>
      <c r="P58" s="1159"/>
      <c r="Q58" s="1159"/>
      <c r="R58" s="1159"/>
      <c r="S58" s="1159"/>
      <c r="T58" s="1159"/>
      <c r="U58" s="1159"/>
      <c r="V58" s="1159"/>
      <c r="W58" s="1159"/>
      <c r="X58" s="1159"/>
      <c r="Y58" s="1159"/>
      <c r="Z58" s="1159"/>
      <c r="AA58" s="1159"/>
      <c r="AB58" s="1159"/>
      <c r="AC58" s="1159"/>
      <c r="AD58" s="1159"/>
      <c r="AE58" s="1159"/>
      <c r="AF58" s="1159"/>
      <c r="AG58" s="1159"/>
      <c r="AH58" s="1159"/>
      <c r="AI58" s="1159"/>
      <c r="AJ58" s="1159"/>
      <c r="AK58" s="1159"/>
      <c r="AL58" s="1159"/>
      <c r="AM58" s="1159"/>
      <c r="AN58" s="1159"/>
      <c r="AO58" s="1159"/>
      <c r="AP58" s="1159"/>
      <c r="AQ58" s="1159"/>
      <c r="AR58" s="1159"/>
      <c r="AS58" s="1159"/>
      <c r="AT58" s="1159"/>
      <c r="AU58" s="1159"/>
      <c r="AV58" s="1159"/>
      <c r="AW58" s="1159"/>
      <c r="AX58" s="1159"/>
      <c r="AY58" s="1159"/>
      <c r="AZ58" s="1159"/>
      <c r="BA58" s="1159"/>
      <c r="BB58" s="1159"/>
      <c r="BC58" s="1159"/>
      <c r="BD58" s="1159"/>
      <c r="BE58" s="1159"/>
      <c r="BF58" s="1159"/>
    </row>
  </sheetData>
  <sheetProtection password="E882" sheet="1" objects="1" scenarios="1" selectLockedCells="1"/>
  <mergeCells count="241">
    <mergeCell ref="AH3:AL3"/>
    <mergeCell ref="A7:B7"/>
    <mergeCell ref="A8:B8"/>
    <mergeCell ref="M7:N7"/>
    <mergeCell ref="O7:P7"/>
    <mergeCell ref="Q7:R7"/>
    <mergeCell ref="S7:T7"/>
    <mergeCell ref="Y7:Z7"/>
    <mergeCell ref="AA7:AB7"/>
    <mergeCell ref="AC7:AD7"/>
    <mergeCell ref="AE7:AF7"/>
    <mergeCell ref="C8:D8"/>
    <mergeCell ref="E7:F7"/>
    <mergeCell ref="G7:H7"/>
    <mergeCell ref="I7:J7"/>
    <mergeCell ref="K7:L7"/>
    <mergeCell ref="C7:D7"/>
    <mergeCell ref="W8:X8"/>
    <mergeCell ref="Y8:Z8"/>
    <mergeCell ref="AA8:AB8"/>
    <mergeCell ref="AC8:AD8"/>
    <mergeCell ref="AE8:AF8"/>
    <mergeCell ref="AG8:AH8"/>
    <mergeCell ref="BE7:BF7"/>
    <mergeCell ref="E8:F8"/>
    <mergeCell ref="G8:H8"/>
    <mergeCell ref="I8:J8"/>
    <mergeCell ref="K8:L8"/>
    <mergeCell ref="M8:N8"/>
    <mergeCell ref="O8:P8"/>
    <mergeCell ref="Q8:R8"/>
    <mergeCell ref="S8:T8"/>
    <mergeCell ref="U8:V8"/>
    <mergeCell ref="AS7:AT7"/>
    <mergeCell ref="AU7:AV7"/>
    <mergeCell ref="AW7:AX7"/>
    <mergeCell ref="AY7:AZ7"/>
    <mergeCell ref="BA7:BB7"/>
    <mergeCell ref="BC7:BD7"/>
    <mergeCell ref="AG7:AH7"/>
    <mergeCell ref="AI7:AJ7"/>
    <mergeCell ref="AK7:AL7"/>
    <mergeCell ref="AM7:AN7"/>
    <mergeCell ref="AO7:AP7"/>
    <mergeCell ref="AQ7:AR7"/>
    <mergeCell ref="U7:V7"/>
    <mergeCell ref="W7:X7"/>
    <mergeCell ref="AY8:AZ8"/>
    <mergeCell ref="BA8:BB8"/>
    <mergeCell ref="BC8:BD8"/>
    <mergeCell ref="BE8:BF8"/>
    <mergeCell ref="AI8:AJ8"/>
    <mergeCell ref="AK8:AL8"/>
    <mergeCell ref="AM8:AN8"/>
    <mergeCell ref="AO8:AP8"/>
    <mergeCell ref="AQ8:AR8"/>
    <mergeCell ref="AS8:AT8"/>
    <mergeCell ref="AU8:AV8"/>
    <mergeCell ref="AW8:AX8"/>
    <mergeCell ref="C11:D11"/>
    <mergeCell ref="E11:F11"/>
    <mergeCell ref="G11:H11"/>
    <mergeCell ref="I11:J11"/>
    <mergeCell ref="AK10:AL10"/>
    <mergeCell ref="AM10:AN10"/>
    <mergeCell ref="AO10:AP10"/>
    <mergeCell ref="AQ10:AR10"/>
    <mergeCell ref="AS10:AT10"/>
    <mergeCell ref="M10:N10"/>
    <mergeCell ref="O10:P10"/>
    <mergeCell ref="Q10:R10"/>
    <mergeCell ref="S10:T10"/>
    <mergeCell ref="U10:V10"/>
    <mergeCell ref="W10:X10"/>
    <mergeCell ref="A10:B10"/>
    <mergeCell ref="A11:B11"/>
    <mergeCell ref="E10:F10"/>
    <mergeCell ref="G10:H10"/>
    <mergeCell ref="I10:J10"/>
    <mergeCell ref="K10:L10"/>
    <mergeCell ref="C10:D10"/>
    <mergeCell ref="AW10:AX10"/>
    <mergeCell ref="AY10:AZ10"/>
    <mergeCell ref="W11:X11"/>
    <mergeCell ref="Y11:Z11"/>
    <mergeCell ref="AA11:AB11"/>
    <mergeCell ref="AC11:AD11"/>
    <mergeCell ref="AE11:AF11"/>
    <mergeCell ref="AG11:AH11"/>
    <mergeCell ref="K11:L11"/>
    <mergeCell ref="M11:N11"/>
    <mergeCell ref="O11:P11"/>
    <mergeCell ref="Q11:R11"/>
    <mergeCell ref="S11:T11"/>
    <mergeCell ref="U11:V11"/>
    <mergeCell ref="AU11:AV11"/>
    <mergeCell ref="AW11:AX11"/>
    <mergeCell ref="AY11:AZ11"/>
    <mergeCell ref="BA10:BB10"/>
    <mergeCell ref="BC10:BD10"/>
    <mergeCell ref="BE10:BF10"/>
    <mergeCell ref="AU10:AV10"/>
    <mergeCell ref="Y10:Z10"/>
    <mergeCell ref="AA10:AB10"/>
    <mergeCell ref="AC10:AD10"/>
    <mergeCell ref="AE10:AF10"/>
    <mergeCell ref="AG10:AH10"/>
    <mergeCell ref="AI10:AJ10"/>
    <mergeCell ref="BA11:BB11"/>
    <mergeCell ref="BC11:BD11"/>
    <mergeCell ref="BE11:BF11"/>
    <mergeCell ref="AI11:AJ11"/>
    <mergeCell ref="AK11:AL11"/>
    <mergeCell ref="AM11:AN11"/>
    <mergeCell ref="AO11:AP11"/>
    <mergeCell ref="AQ11:AR11"/>
    <mergeCell ref="AS11:AT11"/>
    <mergeCell ref="AC13:AH13"/>
    <mergeCell ref="N13:AB13"/>
    <mergeCell ref="N14:AB14"/>
    <mergeCell ref="A15:M15"/>
    <mergeCell ref="N15:AB15"/>
    <mergeCell ref="AC15:AH15"/>
    <mergeCell ref="AI13:BF13"/>
    <mergeCell ref="AC14:AH14"/>
    <mergeCell ref="A13:M13"/>
    <mergeCell ref="A14:M14"/>
    <mergeCell ref="AU14:AV14"/>
    <mergeCell ref="AW14:AX14"/>
    <mergeCell ref="AY14:AZ14"/>
    <mergeCell ref="BA14:BB14"/>
    <mergeCell ref="BC14:BD14"/>
    <mergeCell ref="BE14:BF14"/>
    <mergeCell ref="AI14:AJ14"/>
    <mergeCell ref="AK14:AL14"/>
    <mergeCell ref="AM14:AN14"/>
    <mergeCell ref="AO14:AP14"/>
    <mergeCell ref="AQ14:AR14"/>
    <mergeCell ref="AS14:AT14"/>
    <mergeCell ref="AU15:AV15"/>
    <mergeCell ref="AW15:AX15"/>
    <mergeCell ref="AK16:AL16"/>
    <mergeCell ref="AM16:AN16"/>
    <mergeCell ref="BC17:BD17"/>
    <mergeCell ref="BE17:BF17"/>
    <mergeCell ref="AY15:AZ15"/>
    <mergeCell ref="BA15:BB15"/>
    <mergeCell ref="BC15:BD15"/>
    <mergeCell ref="BE15:BF15"/>
    <mergeCell ref="AI15:AJ15"/>
    <mergeCell ref="AK15:AL15"/>
    <mergeCell ref="AM15:AN15"/>
    <mergeCell ref="AO15:AP15"/>
    <mergeCell ref="AQ15:AR15"/>
    <mergeCell ref="AS15:AT15"/>
    <mergeCell ref="A18:M18"/>
    <mergeCell ref="N18:AB18"/>
    <mergeCell ref="AC18:AH18"/>
    <mergeCell ref="AI18:AJ18"/>
    <mergeCell ref="AK18:AL18"/>
    <mergeCell ref="AM18:AN18"/>
    <mergeCell ref="AO18:AP18"/>
    <mergeCell ref="AQ18:AR18"/>
    <mergeCell ref="AQ17:AR17"/>
    <mergeCell ref="A17:M17"/>
    <mergeCell ref="N17:AB17"/>
    <mergeCell ref="AC17:AH17"/>
    <mergeCell ref="AI17:AJ17"/>
    <mergeCell ref="AK17:AL17"/>
    <mergeCell ref="AM17:AN17"/>
    <mergeCell ref="AO17:AP17"/>
    <mergeCell ref="A38:BF38"/>
    <mergeCell ref="A39:BF39"/>
    <mergeCell ref="A21:BF21"/>
    <mergeCell ref="A31:BF31"/>
    <mergeCell ref="A32:BF32"/>
    <mergeCell ref="A33:BF33"/>
    <mergeCell ref="A34:BF34"/>
    <mergeCell ref="A35:BF35"/>
    <mergeCell ref="A36:BF36"/>
    <mergeCell ref="A27:BF27"/>
    <mergeCell ref="A28:BF28"/>
    <mergeCell ref="A29:BF29"/>
    <mergeCell ref="A30:BF30"/>
    <mergeCell ref="AH1:AL1"/>
    <mergeCell ref="AM1:BF1"/>
    <mergeCell ref="AM3:BF3"/>
    <mergeCell ref="A5:BF5"/>
    <mergeCell ref="AM2:BF2"/>
    <mergeCell ref="AH2:AL2"/>
    <mergeCell ref="AS17:AT17"/>
    <mergeCell ref="AU17:AV17"/>
    <mergeCell ref="AW17:AX17"/>
    <mergeCell ref="AY17:AZ17"/>
    <mergeCell ref="BA17:BB17"/>
    <mergeCell ref="BA16:BB16"/>
    <mergeCell ref="BC16:BD16"/>
    <mergeCell ref="BE16:BF16"/>
    <mergeCell ref="AO16:AP16"/>
    <mergeCell ref="AQ16:AR16"/>
    <mergeCell ref="AS16:AT16"/>
    <mergeCell ref="AU16:AV16"/>
    <mergeCell ref="AW16:AX16"/>
    <mergeCell ref="AY16:AZ16"/>
    <mergeCell ref="A16:M16"/>
    <mergeCell ref="N16:AB16"/>
    <mergeCell ref="AC16:AH16"/>
    <mergeCell ref="AI16:AJ16"/>
    <mergeCell ref="A56:BF56"/>
    <mergeCell ref="A57:BF57"/>
    <mergeCell ref="A58:BF58"/>
    <mergeCell ref="A50:BF50"/>
    <mergeCell ref="A51:BF51"/>
    <mergeCell ref="A52:BF52"/>
    <mergeCell ref="A53:BF53"/>
    <mergeCell ref="A54:BF54"/>
    <mergeCell ref="A55:BF55"/>
    <mergeCell ref="A44:BF44"/>
    <mergeCell ref="A45:BF45"/>
    <mergeCell ref="A46:BF46"/>
    <mergeCell ref="A47:BF47"/>
    <mergeCell ref="A48:BF48"/>
    <mergeCell ref="A49:BF49"/>
    <mergeCell ref="BE18:BF18"/>
    <mergeCell ref="A20:BF20"/>
    <mergeCell ref="A40:BF40"/>
    <mergeCell ref="A22:BF22"/>
    <mergeCell ref="A23:BF23"/>
    <mergeCell ref="A24:BF24"/>
    <mergeCell ref="A25:BF25"/>
    <mergeCell ref="A26:BF26"/>
    <mergeCell ref="A41:BF41"/>
    <mergeCell ref="A42:BF42"/>
    <mergeCell ref="A43:BF43"/>
    <mergeCell ref="AS18:AT18"/>
    <mergeCell ref="AU18:AV18"/>
    <mergeCell ref="AW18:AX18"/>
    <mergeCell ref="AY18:AZ18"/>
    <mergeCell ref="BA18:BB18"/>
    <mergeCell ref="BC18:BD18"/>
    <mergeCell ref="A37:BF37"/>
  </mergeCells>
  <dataValidations count="1">
    <dataValidation type="list" allowBlank="1" showInputMessage="1" showErrorMessage="1" errorTitle="Fehler" error="Bitte Zauber aus der Dropdownliste auswählen!" promptTitle="Dropdown-Liste" prompt="Bitte Zauber aus der Liste auswählen oder eingeben!" sqref="A14:A18">
      <formula1>Zauber</formula1>
    </dataValidation>
  </dataValidations>
  <printOptions horizontalCentered="1"/>
  <pageMargins left="0.19685039370078741" right="0.19685039370078741" top="0.19685039370078741" bottom="0.19685039370078741"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tabColor theme="5" tint="0.39997558519241921"/>
  </sheetPr>
  <dimension ref="A1:R607"/>
  <sheetViews>
    <sheetView showGridLines="0" zoomScale="80" zoomScaleNormal="80" workbookViewId="0">
      <pane ySplit="1" topLeftCell="A2" activePane="bottomLeft" state="frozen"/>
      <selection pane="bottomLeft"/>
    </sheetView>
  </sheetViews>
  <sheetFormatPr baseColWidth="10" defaultRowHeight="20.100000000000001" customHeight="1" x14ac:dyDescent="0.2"/>
  <cols>
    <col min="1" max="1" width="35.140625" style="23" customWidth="1"/>
    <col min="2" max="2" width="8.42578125" style="24" customWidth="1"/>
    <col min="3" max="3" width="5.7109375" style="23" customWidth="1"/>
    <col min="4" max="4" width="11.7109375" style="23" customWidth="1"/>
    <col min="5" max="5" width="13.85546875" style="23" customWidth="1"/>
    <col min="6" max="6" width="12.140625" style="23" customWidth="1"/>
    <col min="7" max="7" width="14.140625" style="23" customWidth="1"/>
    <col min="8" max="8" width="18.42578125" style="23" customWidth="1"/>
    <col min="9" max="9" width="16.42578125" style="23" customWidth="1"/>
    <col min="10" max="10" width="10.5703125" style="23" customWidth="1"/>
    <col min="11" max="11" width="15" style="370" customWidth="1"/>
    <col min="12" max="12" width="12.42578125" style="370" customWidth="1"/>
    <col min="13" max="13" width="16.7109375" style="23" customWidth="1"/>
    <col min="14" max="14" width="10.85546875" style="23" customWidth="1"/>
    <col min="15" max="15" width="15" style="370" customWidth="1"/>
    <col min="16" max="16" width="49.7109375" style="366" customWidth="1"/>
    <col min="17" max="17" width="20" style="24" customWidth="1"/>
    <col min="18" max="18" width="5.7109375" style="24" customWidth="1"/>
    <col min="19" max="16384" width="11.42578125" style="23"/>
  </cols>
  <sheetData>
    <row r="1" spans="1:18" s="9" customFormat="1" ht="15" customHeight="1" thickBot="1" x14ac:dyDescent="0.25">
      <c r="A1" s="25" t="s">
        <v>287</v>
      </c>
      <c r="B1" s="26" t="s">
        <v>174</v>
      </c>
      <c r="C1" s="26" t="s">
        <v>288</v>
      </c>
      <c r="D1" s="27" t="s">
        <v>27</v>
      </c>
      <c r="E1" s="26" t="s">
        <v>289</v>
      </c>
      <c r="F1" s="26" t="s">
        <v>290</v>
      </c>
      <c r="G1" s="26" t="s">
        <v>214</v>
      </c>
      <c r="H1" s="26" t="s">
        <v>291</v>
      </c>
      <c r="I1" s="26" t="s">
        <v>292</v>
      </c>
      <c r="J1" s="26" t="s">
        <v>293</v>
      </c>
      <c r="K1" s="369" t="s">
        <v>294</v>
      </c>
      <c r="L1" s="369" t="s">
        <v>171</v>
      </c>
      <c r="M1" s="26" t="s">
        <v>295</v>
      </c>
      <c r="N1" s="26" t="s">
        <v>296</v>
      </c>
      <c r="O1" s="369" t="s">
        <v>297</v>
      </c>
      <c r="P1" s="365" t="s">
        <v>1744</v>
      </c>
      <c r="Q1" s="26" t="s">
        <v>746</v>
      </c>
      <c r="R1" s="326" t="s">
        <v>747</v>
      </c>
    </row>
    <row r="2" spans="1:18" ht="20.100000000000001" customHeight="1" x14ac:dyDescent="0.2">
      <c r="A2" s="379" t="s">
        <v>298</v>
      </c>
      <c r="B2" s="380" t="s">
        <v>220</v>
      </c>
      <c r="C2" s="380">
        <v>9</v>
      </c>
      <c r="D2" s="381">
        <v>6</v>
      </c>
      <c r="E2" s="380" t="s">
        <v>299</v>
      </c>
      <c r="F2" s="380" t="s">
        <v>25</v>
      </c>
      <c r="G2" s="380" t="s">
        <v>216</v>
      </c>
      <c r="H2" s="380" t="s">
        <v>770</v>
      </c>
      <c r="I2" s="380">
        <v>0</v>
      </c>
      <c r="J2" s="382" t="s">
        <v>300</v>
      </c>
      <c r="K2" s="383" t="str">
        <f>IF(O2="Zauberspruch",L2,O2)</f>
        <v>Wundertat</v>
      </c>
      <c r="L2" s="384" t="s">
        <v>145</v>
      </c>
      <c r="M2" s="384" t="s">
        <v>301</v>
      </c>
      <c r="N2" s="384" t="s">
        <v>302</v>
      </c>
      <c r="O2" s="384" t="s">
        <v>1183</v>
      </c>
      <c r="P2" s="385" t="s">
        <v>75</v>
      </c>
      <c r="Q2" s="386" t="s">
        <v>748</v>
      </c>
      <c r="R2" s="386">
        <v>135</v>
      </c>
    </row>
    <row r="3" spans="1:18" ht="20.100000000000001" customHeight="1" x14ac:dyDescent="0.2">
      <c r="A3" s="377" t="s">
        <v>303</v>
      </c>
      <c r="B3" s="371" t="s">
        <v>219</v>
      </c>
      <c r="C3" s="371">
        <v>2</v>
      </c>
      <c r="D3" s="372" t="s">
        <v>749</v>
      </c>
      <c r="E3" s="371" t="s">
        <v>304</v>
      </c>
      <c r="F3" s="371" t="s">
        <v>305</v>
      </c>
      <c r="G3" s="371" t="s">
        <v>215</v>
      </c>
      <c r="H3" s="371" t="s">
        <v>772</v>
      </c>
      <c r="I3" s="371" t="s">
        <v>306</v>
      </c>
      <c r="J3" s="371" t="s">
        <v>307</v>
      </c>
      <c r="K3" s="373" t="str">
        <f>IF(O3="Zauberspruch",L3,O3)</f>
        <v>Beherrschen</v>
      </c>
      <c r="L3" s="373" t="s">
        <v>137</v>
      </c>
      <c r="M3" s="374" t="s">
        <v>308</v>
      </c>
      <c r="N3" s="374" t="s">
        <v>309</v>
      </c>
      <c r="O3" s="373" t="s">
        <v>166</v>
      </c>
      <c r="P3" s="368" t="s">
        <v>75</v>
      </c>
      <c r="Q3" s="367" t="s">
        <v>748</v>
      </c>
      <c r="R3" s="367">
        <v>63</v>
      </c>
    </row>
    <row r="4" spans="1:18" ht="20.100000000000001" customHeight="1" x14ac:dyDescent="0.2">
      <c r="A4" s="377" t="s">
        <v>310</v>
      </c>
      <c r="B4" s="371" t="s">
        <v>219</v>
      </c>
      <c r="C4" s="371">
        <v>2</v>
      </c>
      <c r="D4" s="372">
        <v>2</v>
      </c>
      <c r="E4" s="371" t="s">
        <v>311</v>
      </c>
      <c r="F4" s="371" t="s">
        <v>305</v>
      </c>
      <c r="G4" s="371" t="s">
        <v>215</v>
      </c>
      <c r="H4" s="371" t="s">
        <v>770</v>
      </c>
      <c r="I4" s="371" t="s">
        <v>312</v>
      </c>
      <c r="J4" s="371" t="s">
        <v>313</v>
      </c>
      <c r="K4" s="373" t="str">
        <f>IF(O4="Zauberspruch",L4,O4)</f>
        <v>Beherrschen</v>
      </c>
      <c r="L4" s="373" t="s">
        <v>137</v>
      </c>
      <c r="M4" s="374" t="s">
        <v>314</v>
      </c>
      <c r="N4" s="374" t="s">
        <v>309</v>
      </c>
      <c r="O4" s="373" t="s">
        <v>166</v>
      </c>
      <c r="P4" s="368" t="s">
        <v>75</v>
      </c>
      <c r="Q4" s="367" t="s">
        <v>748</v>
      </c>
      <c r="R4" s="367">
        <v>64</v>
      </c>
    </row>
    <row r="5" spans="1:18" ht="20.100000000000001" customHeight="1" x14ac:dyDescent="0.2">
      <c r="A5" s="377" t="s">
        <v>315</v>
      </c>
      <c r="B5" s="371" t="s">
        <v>219</v>
      </c>
      <c r="C5" s="371">
        <v>2</v>
      </c>
      <c r="D5" s="372">
        <v>2</v>
      </c>
      <c r="E5" s="371" t="s">
        <v>311</v>
      </c>
      <c r="F5" s="371" t="s">
        <v>305</v>
      </c>
      <c r="G5" s="371" t="s">
        <v>215</v>
      </c>
      <c r="H5" s="371" t="s">
        <v>770</v>
      </c>
      <c r="I5" s="371" t="s">
        <v>316</v>
      </c>
      <c r="J5" s="371" t="s">
        <v>313</v>
      </c>
      <c r="K5" s="373" t="str">
        <f>IF(O5="Zauberspruch",L5,O5)</f>
        <v>Beherrschen</v>
      </c>
      <c r="L5" s="373" t="s">
        <v>137</v>
      </c>
      <c r="M5" s="374" t="s">
        <v>309</v>
      </c>
      <c r="N5" s="374" t="s">
        <v>309</v>
      </c>
      <c r="O5" s="373" t="s">
        <v>166</v>
      </c>
      <c r="P5" s="368" t="s">
        <v>75</v>
      </c>
      <c r="Q5" s="367" t="s">
        <v>748</v>
      </c>
      <c r="R5" s="367">
        <v>64</v>
      </c>
    </row>
    <row r="6" spans="1:18" ht="20.100000000000001" customHeight="1" x14ac:dyDescent="0.2">
      <c r="A6" s="377" t="s">
        <v>1496</v>
      </c>
      <c r="B6" s="371" t="s">
        <v>219</v>
      </c>
      <c r="C6" s="371">
        <v>2</v>
      </c>
      <c r="D6" s="372">
        <v>2</v>
      </c>
      <c r="E6" s="371" t="s">
        <v>304</v>
      </c>
      <c r="F6" s="371" t="s">
        <v>305</v>
      </c>
      <c r="G6" s="371" t="s">
        <v>215</v>
      </c>
      <c r="H6" s="371" t="s">
        <v>770</v>
      </c>
      <c r="I6" s="371" t="s">
        <v>316</v>
      </c>
      <c r="J6" s="371" t="s">
        <v>313</v>
      </c>
      <c r="K6" s="373" t="str">
        <f>IF(O6="Zauberspruch",L6,O6)</f>
        <v>Zaubersiegel</v>
      </c>
      <c r="L6" s="373" t="s">
        <v>137</v>
      </c>
      <c r="M6" s="374" t="s">
        <v>309</v>
      </c>
      <c r="N6" s="374" t="s">
        <v>309</v>
      </c>
      <c r="O6" s="404" t="s">
        <v>1322</v>
      </c>
      <c r="P6" s="368" t="s">
        <v>1497</v>
      </c>
      <c r="Q6" s="367" t="s">
        <v>1321</v>
      </c>
      <c r="R6" s="367">
        <v>55</v>
      </c>
    </row>
    <row r="7" spans="1:18" ht="20.100000000000001" customHeight="1" x14ac:dyDescent="0.2">
      <c r="A7" s="377" t="s">
        <v>317</v>
      </c>
      <c r="B7" s="371" t="s">
        <v>220</v>
      </c>
      <c r="C7" s="371">
        <v>3</v>
      </c>
      <c r="D7" s="387">
        <v>2</v>
      </c>
      <c r="E7" s="371" t="s">
        <v>311</v>
      </c>
      <c r="F7" s="371" t="s">
        <v>75</v>
      </c>
      <c r="G7" s="371" t="s">
        <v>216</v>
      </c>
      <c r="H7" s="371" t="s">
        <v>791</v>
      </c>
      <c r="I7" s="371" t="s">
        <v>318</v>
      </c>
      <c r="J7" s="388" t="s">
        <v>300</v>
      </c>
      <c r="K7" s="373" t="str">
        <f>IF(O7="Zauberspruch",L7,O7)</f>
        <v>Wundertat</v>
      </c>
      <c r="L7" s="376" t="s">
        <v>138</v>
      </c>
      <c r="M7" s="376" t="s">
        <v>319</v>
      </c>
      <c r="N7" s="376" t="s">
        <v>301</v>
      </c>
      <c r="O7" s="376" t="s">
        <v>1183</v>
      </c>
      <c r="P7" s="389" t="s">
        <v>75</v>
      </c>
      <c r="Q7" s="367" t="s">
        <v>748</v>
      </c>
      <c r="R7" s="367">
        <v>135</v>
      </c>
    </row>
    <row r="8" spans="1:18" ht="20.100000000000001" customHeight="1" x14ac:dyDescent="0.2">
      <c r="A8" s="377" t="s">
        <v>320</v>
      </c>
      <c r="B8" s="371" t="s">
        <v>220</v>
      </c>
      <c r="C8" s="371">
        <v>1</v>
      </c>
      <c r="D8" s="372">
        <v>1</v>
      </c>
      <c r="E8" s="371" t="s">
        <v>311</v>
      </c>
      <c r="F8" s="371" t="s">
        <v>321</v>
      </c>
      <c r="G8" s="371" t="s">
        <v>217</v>
      </c>
      <c r="H8" s="371" t="s">
        <v>774</v>
      </c>
      <c r="I8" s="371" t="s">
        <v>299</v>
      </c>
      <c r="J8" s="371" t="s">
        <v>307</v>
      </c>
      <c r="K8" s="373" t="str">
        <f>IF(O8="Zauberspruch",L8,O8)</f>
        <v>Formen</v>
      </c>
      <c r="L8" s="373" t="s">
        <v>148</v>
      </c>
      <c r="M8" s="374" t="s">
        <v>322</v>
      </c>
      <c r="N8" s="374" t="s">
        <v>319</v>
      </c>
      <c r="O8" s="373" t="s">
        <v>166</v>
      </c>
      <c r="P8" s="368" t="s">
        <v>75</v>
      </c>
      <c r="Q8" s="367" t="s">
        <v>748</v>
      </c>
      <c r="R8" s="367">
        <v>65</v>
      </c>
    </row>
    <row r="9" spans="1:18" ht="20.100000000000001" customHeight="1" x14ac:dyDescent="0.2">
      <c r="A9" s="377" t="s">
        <v>323</v>
      </c>
      <c r="B9" s="371" t="s">
        <v>220</v>
      </c>
      <c r="C9" s="371">
        <v>12</v>
      </c>
      <c r="D9" s="372">
        <v>8</v>
      </c>
      <c r="E9" s="371" t="s">
        <v>324</v>
      </c>
      <c r="F9" s="371" t="s">
        <v>305</v>
      </c>
      <c r="G9" s="371" t="s">
        <v>217</v>
      </c>
      <c r="H9" s="371" t="s">
        <v>776</v>
      </c>
      <c r="I9" s="371" t="s">
        <v>325</v>
      </c>
      <c r="J9" s="371" t="s">
        <v>313</v>
      </c>
      <c r="K9" s="373" t="str">
        <f>IF(O9="Zauberspruch",L9,O9)</f>
        <v>Zerstören</v>
      </c>
      <c r="L9" s="373" t="s">
        <v>141</v>
      </c>
      <c r="M9" s="374" t="s">
        <v>322</v>
      </c>
      <c r="N9" s="374" t="s">
        <v>319</v>
      </c>
      <c r="O9" s="373" t="s">
        <v>166</v>
      </c>
      <c r="P9" s="368" t="s">
        <v>326</v>
      </c>
      <c r="Q9" s="367" t="s">
        <v>748</v>
      </c>
      <c r="R9" s="367">
        <v>65</v>
      </c>
    </row>
    <row r="10" spans="1:18" ht="20.100000000000001" customHeight="1" x14ac:dyDescent="0.2">
      <c r="A10" s="377" t="s">
        <v>1471</v>
      </c>
      <c r="B10" s="371" t="s">
        <v>220</v>
      </c>
      <c r="C10" s="371">
        <v>12</v>
      </c>
      <c r="D10" s="372">
        <v>8</v>
      </c>
      <c r="E10" s="371" t="s">
        <v>304</v>
      </c>
      <c r="F10" s="371" t="s">
        <v>305</v>
      </c>
      <c r="G10" s="371" t="s">
        <v>217</v>
      </c>
      <c r="H10" s="371" t="s">
        <v>776</v>
      </c>
      <c r="I10" s="371" t="s">
        <v>325</v>
      </c>
      <c r="J10" s="371" t="s">
        <v>313</v>
      </c>
      <c r="K10" s="373" t="str">
        <f>IF(O10="Zauberspruch",L10,O10)</f>
        <v>Runenstab</v>
      </c>
      <c r="L10" s="373" t="s">
        <v>141</v>
      </c>
      <c r="M10" s="374" t="s">
        <v>322</v>
      </c>
      <c r="N10" s="374" t="s">
        <v>319</v>
      </c>
      <c r="O10" s="404" t="s">
        <v>1472</v>
      </c>
      <c r="P10" s="368" t="s">
        <v>75</v>
      </c>
      <c r="Q10" s="367" t="s">
        <v>1321</v>
      </c>
      <c r="R10" s="367">
        <v>51</v>
      </c>
    </row>
    <row r="11" spans="1:18" ht="20.100000000000001" customHeight="1" x14ac:dyDescent="0.2">
      <c r="A11" s="377" t="s">
        <v>327</v>
      </c>
      <c r="B11" s="371" t="s">
        <v>220</v>
      </c>
      <c r="C11" s="371">
        <v>4</v>
      </c>
      <c r="D11" s="372">
        <v>2</v>
      </c>
      <c r="E11" s="371" t="s">
        <v>311</v>
      </c>
      <c r="F11" s="371" t="s">
        <v>321</v>
      </c>
      <c r="G11" s="371" t="s">
        <v>216</v>
      </c>
      <c r="H11" s="371" t="s">
        <v>770</v>
      </c>
      <c r="I11" s="371" t="s">
        <v>318</v>
      </c>
      <c r="J11" s="371" t="s">
        <v>328</v>
      </c>
      <c r="K11" s="373" t="str">
        <f>IF(O11="Zauberspruch",L11,O11)</f>
        <v>Verändern</v>
      </c>
      <c r="L11" s="373" t="s">
        <v>138</v>
      </c>
      <c r="M11" s="374" t="s">
        <v>329</v>
      </c>
      <c r="N11" s="374" t="s">
        <v>302</v>
      </c>
      <c r="O11" s="373" t="s">
        <v>166</v>
      </c>
      <c r="P11" s="368" t="s">
        <v>75</v>
      </c>
      <c r="Q11" s="367" t="s">
        <v>748</v>
      </c>
      <c r="R11" s="367">
        <v>65</v>
      </c>
    </row>
    <row r="12" spans="1:18" ht="20.100000000000001" customHeight="1" x14ac:dyDescent="0.2">
      <c r="A12" s="377" t="s">
        <v>1498</v>
      </c>
      <c r="B12" s="371" t="s">
        <v>219</v>
      </c>
      <c r="C12" s="371">
        <v>4</v>
      </c>
      <c r="D12" s="372">
        <v>2</v>
      </c>
      <c r="E12" s="371" t="s">
        <v>304</v>
      </c>
      <c r="F12" s="371" t="s">
        <v>321</v>
      </c>
      <c r="G12" s="371" t="s">
        <v>216</v>
      </c>
      <c r="H12" s="371" t="s">
        <v>770</v>
      </c>
      <c r="I12" s="371" t="s">
        <v>318</v>
      </c>
      <c r="J12" s="371" t="s">
        <v>328</v>
      </c>
      <c r="K12" s="373" t="str">
        <f>IF(O12="Zauberspruch",L12,O12)</f>
        <v>Zaubersiegel</v>
      </c>
      <c r="L12" s="373" t="s">
        <v>138</v>
      </c>
      <c r="M12" s="374" t="s">
        <v>329</v>
      </c>
      <c r="N12" s="374" t="s">
        <v>302</v>
      </c>
      <c r="O12" s="404" t="s">
        <v>1322</v>
      </c>
      <c r="P12" s="368" t="s">
        <v>216</v>
      </c>
      <c r="Q12" s="367" t="s">
        <v>1321</v>
      </c>
      <c r="R12" s="367">
        <v>55</v>
      </c>
    </row>
    <row r="13" spans="1:18" ht="20.100000000000001" customHeight="1" x14ac:dyDescent="0.2">
      <c r="A13" s="377" t="s">
        <v>330</v>
      </c>
      <c r="B13" s="371" t="s">
        <v>219</v>
      </c>
      <c r="C13" s="371">
        <v>4</v>
      </c>
      <c r="D13" s="387">
        <v>5</v>
      </c>
      <c r="E13" s="371" t="s">
        <v>311</v>
      </c>
      <c r="F13" s="371" t="s">
        <v>321</v>
      </c>
      <c r="G13" s="371" t="s">
        <v>216</v>
      </c>
      <c r="H13" s="371" t="s">
        <v>770</v>
      </c>
      <c r="I13" s="371">
        <v>0</v>
      </c>
      <c r="J13" s="388" t="s">
        <v>300</v>
      </c>
      <c r="K13" s="373" t="str">
        <f>IF(O13="Zauberspruch",L13,O13)</f>
        <v>Wundertat</v>
      </c>
      <c r="L13" s="376" t="s">
        <v>140</v>
      </c>
      <c r="M13" s="376" t="s">
        <v>322</v>
      </c>
      <c r="N13" s="376" t="s">
        <v>308</v>
      </c>
      <c r="O13" s="376" t="s">
        <v>1183</v>
      </c>
      <c r="P13" s="389" t="s">
        <v>75</v>
      </c>
      <c r="Q13" s="367" t="s">
        <v>748</v>
      </c>
      <c r="R13" s="367">
        <v>136</v>
      </c>
    </row>
    <row r="14" spans="1:18" ht="20.100000000000001" customHeight="1" x14ac:dyDescent="0.2">
      <c r="A14" s="377" t="s">
        <v>1824</v>
      </c>
      <c r="B14" s="371" t="s">
        <v>219</v>
      </c>
      <c r="C14" s="371">
        <v>4</v>
      </c>
      <c r="D14" s="387">
        <v>5</v>
      </c>
      <c r="E14" s="371" t="s">
        <v>311</v>
      </c>
      <c r="F14" s="371" t="s">
        <v>321</v>
      </c>
      <c r="G14" s="371" t="s">
        <v>216</v>
      </c>
      <c r="H14" s="371" t="s">
        <v>770</v>
      </c>
      <c r="I14" s="371">
        <v>0</v>
      </c>
      <c r="J14" s="388" t="s">
        <v>313</v>
      </c>
      <c r="K14" s="373" t="str">
        <f>IF(O14="Zauberspruch",L14,O14)</f>
        <v>Wundertat</v>
      </c>
      <c r="L14" s="376" t="s">
        <v>140</v>
      </c>
      <c r="M14" s="376" t="s">
        <v>322</v>
      </c>
      <c r="N14" s="376" t="s">
        <v>308</v>
      </c>
      <c r="O14" s="376" t="s">
        <v>1183</v>
      </c>
      <c r="P14" s="376" t="s">
        <v>75</v>
      </c>
      <c r="Q14" s="367" t="s">
        <v>1872</v>
      </c>
      <c r="R14" s="367">
        <v>15</v>
      </c>
    </row>
    <row r="15" spans="1:18" ht="20.100000000000001" customHeight="1" x14ac:dyDescent="0.2">
      <c r="A15" s="377" t="s">
        <v>1765</v>
      </c>
      <c r="B15" s="371" t="s">
        <v>220</v>
      </c>
      <c r="C15" s="371">
        <v>10</v>
      </c>
      <c r="D15" s="372">
        <v>9</v>
      </c>
      <c r="E15" s="371" t="s">
        <v>493</v>
      </c>
      <c r="F15" s="371" t="s">
        <v>25</v>
      </c>
      <c r="G15" s="371" t="s">
        <v>217</v>
      </c>
      <c r="H15" s="371" t="s">
        <v>774</v>
      </c>
      <c r="I15" s="371" t="s">
        <v>369</v>
      </c>
      <c r="J15" s="388" t="s">
        <v>313</v>
      </c>
      <c r="K15" s="373" t="str">
        <f>IF(O15="Zauberspruch",L15,O15)</f>
        <v>Formen</v>
      </c>
      <c r="L15" s="376" t="s">
        <v>148</v>
      </c>
      <c r="M15" s="376" t="s">
        <v>322</v>
      </c>
      <c r="N15" s="376" t="s">
        <v>319</v>
      </c>
      <c r="O15" s="373" t="s">
        <v>166</v>
      </c>
      <c r="P15" s="376" t="s">
        <v>1862</v>
      </c>
      <c r="Q15" s="367" t="s">
        <v>1872</v>
      </c>
      <c r="R15" s="367">
        <v>6</v>
      </c>
    </row>
    <row r="16" spans="1:18" ht="20.100000000000001" customHeight="1" x14ac:dyDescent="0.2">
      <c r="A16" s="377" t="s">
        <v>1782</v>
      </c>
      <c r="B16" s="371" t="s">
        <v>219</v>
      </c>
      <c r="C16" s="388">
        <v>10</v>
      </c>
      <c r="D16" s="387">
        <v>9</v>
      </c>
      <c r="E16" s="371" t="s">
        <v>304</v>
      </c>
      <c r="F16" s="372" t="s">
        <v>1766</v>
      </c>
      <c r="G16" s="371" t="s">
        <v>217</v>
      </c>
      <c r="H16" s="371" t="s">
        <v>774</v>
      </c>
      <c r="I16" s="371" t="s">
        <v>369</v>
      </c>
      <c r="J16" s="388" t="s">
        <v>313</v>
      </c>
      <c r="K16" s="373" t="str">
        <f>IF(O16="Zauberspruch",L16,O16)</f>
        <v>Zaubersiegel</v>
      </c>
      <c r="L16" s="376" t="s">
        <v>148</v>
      </c>
      <c r="M16" s="376" t="s">
        <v>322</v>
      </c>
      <c r="N16" s="376" t="s">
        <v>319</v>
      </c>
      <c r="O16" s="404" t="s">
        <v>1322</v>
      </c>
      <c r="P16" s="376" t="s">
        <v>1862</v>
      </c>
      <c r="Q16" s="367" t="s">
        <v>1797</v>
      </c>
      <c r="R16" s="367">
        <v>4</v>
      </c>
    </row>
    <row r="17" spans="1:18" ht="20.100000000000001" customHeight="1" x14ac:dyDescent="0.2">
      <c r="A17" s="377" t="s">
        <v>1798</v>
      </c>
      <c r="B17" s="371" t="s">
        <v>220</v>
      </c>
      <c r="C17" s="371">
        <v>12</v>
      </c>
      <c r="D17" s="371" t="s">
        <v>1799</v>
      </c>
      <c r="E17" s="371" t="s">
        <v>316</v>
      </c>
      <c r="F17" s="371" t="s">
        <v>75</v>
      </c>
      <c r="G17" s="371" t="s">
        <v>216</v>
      </c>
      <c r="H17" s="371" t="s">
        <v>791</v>
      </c>
      <c r="I17" s="371">
        <v>0</v>
      </c>
      <c r="J17" s="371" t="s">
        <v>370</v>
      </c>
      <c r="K17" s="373" t="str">
        <f>IF(O17="Zauberspruch",L17,O17)</f>
        <v>Verändern</v>
      </c>
      <c r="L17" s="373" t="s">
        <v>138</v>
      </c>
      <c r="M17" s="373" t="s">
        <v>329</v>
      </c>
      <c r="N17" s="373" t="s">
        <v>302</v>
      </c>
      <c r="O17" s="373" t="s">
        <v>166</v>
      </c>
      <c r="P17" s="376" t="s">
        <v>1863</v>
      </c>
      <c r="Q17" s="367" t="s">
        <v>1872</v>
      </c>
      <c r="R17" s="367">
        <v>7</v>
      </c>
    </row>
    <row r="18" spans="1:18" ht="20.100000000000001" customHeight="1" x14ac:dyDescent="0.2">
      <c r="A18" s="377" t="s">
        <v>331</v>
      </c>
      <c r="B18" s="371" t="s">
        <v>219</v>
      </c>
      <c r="C18" s="371">
        <v>2</v>
      </c>
      <c r="D18" s="387">
        <v>1</v>
      </c>
      <c r="E18" s="371" t="s">
        <v>304</v>
      </c>
      <c r="F18" s="371" t="s">
        <v>332</v>
      </c>
      <c r="G18" s="371" t="s">
        <v>217</v>
      </c>
      <c r="H18" s="371" t="s">
        <v>768</v>
      </c>
      <c r="I18" s="371" t="s">
        <v>306</v>
      </c>
      <c r="J18" s="388" t="s">
        <v>300</v>
      </c>
      <c r="K18" s="373" t="str">
        <f>IF(O18="Zauberspruch",L18,O18)</f>
        <v>Wundertat</v>
      </c>
      <c r="L18" s="376" t="s">
        <v>145</v>
      </c>
      <c r="M18" s="376" t="s">
        <v>308</v>
      </c>
      <c r="N18" s="376" t="s">
        <v>308</v>
      </c>
      <c r="O18" s="376" t="s">
        <v>1183</v>
      </c>
      <c r="P18" s="389" t="s">
        <v>75</v>
      </c>
      <c r="Q18" s="367" t="s">
        <v>748</v>
      </c>
      <c r="R18" s="367">
        <v>136</v>
      </c>
    </row>
    <row r="19" spans="1:18" ht="20.100000000000001" customHeight="1" x14ac:dyDescent="0.2">
      <c r="A19" s="377" t="s">
        <v>333</v>
      </c>
      <c r="B19" s="371" t="s">
        <v>219</v>
      </c>
      <c r="C19" s="371">
        <v>4</v>
      </c>
      <c r="D19" s="387">
        <v>4</v>
      </c>
      <c r="E19" s="371" t="s">
        <v>311</v>
      </c>
      <c r="F19" s="371" t="s">
        <v>321</v>
      </c>
      <c r="G19" s="371" t="s">
        <v>217</v>
      </c>
      <c r="H19" s="388" t="s">
        <v>775</v>
      </c>
      <c r="I19" s="371">
        <v>0</v>
      </c>
      <c r="J19" s="388" t="s">
        <v>300</v>
      </c>
      <c r="K19" s="373" t="str">
        <f>IF(O19="Zauberspruch",L19,O19)</f>
        <v>Wundertat</v>
      </c>
      <c r="L19" s="376" t="s">
        <v>141</v>
      </c>
      <c r="M19" s="376" t="s">
        <v>322</v>
      </c>
      <c r="N19" s="376" t="s">
        <v>322</v>
      </c>
      <c r="O19" s="376" t="s">
        <v>1183</v>
      </c>
      <c r="P19" s="389" t="s">
        <v>75</v>
      </c>
      <c r="Q19" s="367" t="s">
        <v>748</v>
      </c>
      <c r="R19" s="367">
        <v>136</v>
      </c>
    </row>
    <row r="20" spans="1:18" ht="20.100000000000001" customHeight="1" x14ac:dyDescent="0.2">
      <c r="A20" s="390" t="s">
        <v>334</v>
      </c>
      <c r="B20" s="388" t="s">
        <v>219</v>
      </c>
      <c r="C20" s="388">
        <v>4</v>
      </c>
      <c r="D20" s="388">
        <v>4</v>
      </c>
      <c r="E20" s="388" t="s">
        <v>311</v>
      </c>
      <c r="F20" s="388" t="s">
        <v>335</v>
      </c>
      <c r="G20" s="388" t="s">
        <v>216</v>
      </c>
      <c r="H20" s="388" t="s">
        <v>770</v>
      </c>
      <c r="I20" s="388">
        <v>0</v>
      </c>
      <c r="J20" s="388" t="s">
        <v>307</v>
      </c>
      <c r="K20" s="376" t="str">
        <f>IF(O20="Zauberspruch",L20,O20)</f>
        <v>Dweomer</v>
      </c>
      <c r="L20" s="376" t="s">
        <v>141</v>
      </c>
      <c r="M20" s="376" t="s">
        <v>301</v>
      </c>
      <c r="N20" s="376" t="s">
        <v>329</v>
      </c>
      <c r="O20" s="376" t="s">
        <v>146</v>
      </c>
      <c r="P20" s="391" t="s">
        <v>75</v>
      </c>
      <c r="Q20" s="367" t="s">
        <v>748</v>
      </c>
      <c r="R20" s="367">
        <v>149</v>
      </c>
    </row>
    <row r="21" spans="1:18" ht="20.100000000000001" customHeight="1" x14ac:dyDescent="0.2">
      <c r="A21" s="392" t="s">
        <v>336</v>
      </c>
      <c r="B21" s="388" t="s">
        <v>219</v>
      </c>
      <c r="C21" s="388">
        <v>4</v>
      </c>
      <c r="D21" s="387">
        <v>4</v>
      </c>
      <c r="E21" s="388" t="s">
        <v>311</v>
      </c>
      <c r="F21" s="388" t="s">
        <v>335</v>
      </c>
      <c r="G21" s="388" t="s">
        <v>216</v>
      </c>
      <c r="H21" s="388" t="s">
        <v>770</v>
      </c>
      <c r="I21" s="388">
        <v>0</v>
      </c>
      <c r="J21" s="388" t="s">
        <v>307</v>
      </c>
      <c r="K21" s="376" t="str">
        <f>IF(O21="Zauberspruch",L21,O21)</f>
        <v>Wundertat</v>
      </c>
      <c r="L21" s="376" t="s">
        <v>141</v>
      </c>
      <c r="M21" s="376" t="s">
        <v>301</v>
      </c>
      <c r="N21" s="376" t="s">
        <v>329</v>
      </c>
      <c r="O21" s="376" t="s">
        <v>1183</v>
      </c>
      <c r="P21" s="393" t="s">
        <v>75</v>
      </c>
      <c r="Q21" s="367" t="s">
        <v>748</v>
      </c>
      <c r="R21" s="367">
        <v>138</v>
      </c>
    </row>
    <row r="22" spans="1:18" ht="20.100000000000001" customHeight="1" x14ac:dyDescent="0.2">
      <c r="A22" s="377" t="s">
        <v>1825</v>
      </c>
      <c r="B22" s="371" t="s">
        <v>219</v>
      </c>
      <c r="C22" s="371">
        <v>4</v>
      </c>
      <c r="D22" s="371">
        <v>4</v>
      </c>
      <c r="E22" s="371" t="s">
        <v>311</v>
      </c>
      <c r="F22" s="371" t="s">
        <v>321</v>
      </c>
      <c r="G22" s="371" t="s">
        <v>217</v>
      </c>
      <c r="H22" s="371" t="s">
        <v>1857</v>
      </c>
      <c r="I22" s="371">
        <v>0</v>
      </c>
      <c r="J22" s="371" t="s">
        <v>370</v>
      </c>
      <c r="K22" s="373" t="str">
        <f>IF(O22="Zauberspruch",L22,O22)</f>
        <v>Wundertat</v>
      </c>
      <c r="L22" s="373" t="s">
        <v>141</v>
      </c>
      <c r="M22" s="373" t="s">
        <v>322</v>
      </c>
      <c r="N22" s="373" t="s">
        <v>322</v>
      </c>
      <c r="O22" s="376" t="s">
        <v>1183</v>
      </c>
      <c r="P22" s="376" t="s">
        <v>75</v>
      </c>
      <c r="Q22" s="367" t="s">
        <v>1872</v>
      </c>
      <c r="R22" s="367">
        <v>15</v>
      </c>
    </row>
    <row r="23" spans="1:18" ht="20.100000000000001" customHeight="1" x14ac:dyDescent="0.2">
      <c r="A23" s="377" t="s">
        <v>337</v>
      </c>
      <c r="B23" s="371" t="s">
        <v>220</v>
      </c>
      <c r="C23" s="371">
        <v>5</v>
      </c>
      <c r="D23" s="372">
        <v>4</v>
      </c>
      <c r="E23" s="371" t="s">
        <v>306</v>
      </c>
      <c r="F23" s="371" t="s">
        <v>332</v>
      </c>
      <c r="G23" s="371" t="s">
        <v>217</v>
      </c>
      <c r="H23" s="371" t="s">
        <v>777</v>
      </c>
      <c r="I23" s="371" t="s">
        <v>338</v>
      </c>
      <c r="J23" s="371" t="s">
        <v>328</v>
      </c>
      <c r="K23" s="373" t="str">
        <f>IF(O23="Zauberspruch",L23,O23)</f>
        <v>Zerstören</v>
      </c>
      <c r="L23" s="373" t="s">
        <v>141</v>
      </c>
      <c r="M23" s="374" t="s">
        <v>308</v>
      </c>
      <c r="N23" s="374" t="s">
        <v>329</v>
      </c>
      <c r="O23" s="373" t="s">
        <v>166</v>
      </c>
      <c r="P23" s="368" t="s">
        <v>339</v>
      </c>
      <c r="Q23" s="367" t="s">
        <v>748</v>
      </c>
      <c r="R23" s="367">
        <v>66</v>
      </c>
    </row>
    <row r="24" spans="1:18" ht="20.100000000000001" customHeight="1" x14ac:dyDescent="0.2">
      <c r="A24" s="377" t="s">
        <v>340</v>
      </c>
      <c r="B24" s="371" t="s">
        <v>219</v>
      </c>
      <c r="C24" s="371">
        <v>2</v>
      </c>
      <c r="D24" s="372">
        <v>1</v>
      </c>
      <c r="E24" s="371" t="s">
        <v>304</v>
      </c>
      <c r="F24" s="371" t="s">
        <v>332</v>
      </c>
      <c r="G24" s="371" t="s">
        <v>217</v>
      </c>
      <c r="H24" s="371" t="s">
        <v>768</v>
      </c>
      <c r="I24" s="371" t="s">
        <v>306</v>
      </c>
      <c r="J24" s="371" t="s">
        <v>300</v>
      </c>
      <c r="K24" s="373" t="str">
        <f>IF(O24="Zauberspruch",L24,O24)</f>
        <v>Zerstören</v>
      </c>
      <c r="L24" s="373" t="s">
        <v>141</v>
      </c>
      <c r="M24" s="374" t="s">
        <v>329</v>
      </c>
      <c r="N24" s="374" t="s">
        <v>308</v>
      </c>
      <c r="O24" s="373" t="s">
        <v>166</v>
      </c>
      <c r="P24" s="368" t="s">
        <v>75</v>
      </c>
      <c r="Q24" s="367" t="s">
        <v>748</v>
      </c>
      <c r="R24" s="367">
        <v>66</v>
      </c>
    </row>
    <row r="25" spans="1:18" ht="20.100000000000001" customHeight="1" x14ac:dyDescent="0.2">
      <c r="A25" s="377" t="s">
        <v>341</v>
      </c>
      <c r="B25" s="371" t="s">
        <v>219</v>
      </c>
      <c r="C25" s="371">
        <v>4</v>
      </c>
      <c r="D25" s="372">
        <v>4</v>
      </c>
      <c r="E25" s="371" t="s">
        <v>318</v>
      </c>
      <c r="F25" s="371" t="s">
        <v>321</v>
      </c>
      <c r="G25" s="371" t="s">
        <v>217</v>
      </c>
      <c r="H25" s="371" t="s">
        <v>775</v>
      </c>
      <c r="I25" s="371">
        <v>0</v>
      </c>
      <c r="J25" s="371" t="s">
        <v>313</v>
      </c>
      <c r="K25" s="373" t="str">
        <f>IF(O25="Zauberspruch",L25,O25)</f>
        <v>Zerstören</v>
      </c>
      <c r="L25" s="373" t="s">
        <v>141</v>
      </c>
      <c r="M25" s="374" t="s">
        <v>319</v>
      </c>
      <c r="N25" s="374" t="s">
        <v>322</v>
      </c>
      <c r="O25" s="373" t="s">
        <v>166</v>
      </c>
      <c r="P25" s="368" t="s">
        <v>75</v>
      </c>
      <c r="Q25" s="367" t="s">
        <v>748</v>
      </c>
      <c r="R25" s="367">
        <v>66</v>
      </c>
    </row>
    <row r="26" spans="1:18" ht="20.100000000000001" customHeight="1" x14ac:dyDescent="0.2">
      <c r="A26" s="377" t="s">
        <v>1499</v>
      </c>
      <c r="B26" s="371" t="s">
        <v>219</v>
      </c>
      <c r="C26" s="371">
        <v>4</v>
      </c>
      <c r="D26" s="372">
        <v>4</v>
      </c>
      <c r="E26" s="371" t="s">
        <v>304</v>
      </c>
      <c r="F26" s="371" t="s">
        <v>321</v>
      </c>
      <c r="G26" s="371" t="s">
        <v>217</v>
      </c>
      <c r="H26" s="371" t="s">
        <v>774</v>
      </c>
      <c r="I26" s="371">
        <v>0</v>
      </c>
      <c r="J26" s="371" t="s">
        <v>313</v>
      </c>
      <c r="K26" s="373" t="str">
        <f>IF(O26="Zauberspruch",L26,O26)</f>
        <v>Zaubersiegel</v>
      </c>
      <c r="L26" s="373" t="s">
        <v>141</v>
      </c>
      <c r="M26" s="374" t="s">
        <v>319</v>
      </c>
      <c r="N26" s="374" t="s">
        <v>322</v>
      </c>
      <c r="O26" s="404" t="s">
        <v>1322</v>
      </c>
      <c r="P26" s="368" t="s">
        <v>1500</v>
      </c>
      <c r="Q26" s="367" t="s">
        <v>1321</v>
      </c>
      <c r="R26" s="367">
        <v>55</v>
      </c>
    </row>
    <row r="27" spans="1:18" ht="20.100000000000001" customHeight="1" x14ac:dyDescent="0.2">
      <c r="A27" s="377" t="s">
        <v>1600</v>
      </c>
      <c r="B27" s="371" t="s">
        <v>220</v>
      </c>
      <c r="C27" s="371">
        <v>6</v>
      </c>
      <c r="D27" s="372">
        <v>3</v>
      </c>
      <c r="E27" s="371" t="s">
        <v>299</v>
      </c>
      <c r="F27" s="371" t="s">
        <v>75</v>
      </c>
      <c r="G27" s="371" t="s">
        <v>215</v>
      </c>
      <c r="H27" s="371" t="s">
        <v>777</v>
      </c>
      <c r="I27" s="371" t="s">
        <v>383</v>
      </c>
      <c r="J27" s="371" t="s">
        <v>300</v>
      </c>
      <c r="K27" s="373" t="str">
        <f>IF(O27="Zauberspruch",L27,O27)</f>
        <v>Zauberrune</v>
      </c>
      <c r="L27" s="373" t="s">
        <v>137</v>
      </c>
      <c r="M27" s="374" t="s">
        <v>314</v>
      </c>
      <c r="N27" s="374" t="s">
        <v>308</v>
      </c>
      <c r="O27" s="404" t="s">
        <v>1601</v>
      </c>
      <c r="P27" s="368" t="s">
        <v>1707</v>
      </c>
      <c r="Q27" s="367" t="s">
        <v>1321</v>
      </c>
      <c r="R27" s="367">
        <v>68</v>
      </c>
    </row>
    <row r="28" spans="1:18" ht="20.100000000000001" customHeight="1" x14ac:dyDescent="0.2">
      <c r="A28" s="377" t="s">
        <v>342</v>
      </c>
      <c r="B28" s="371" t="s">
        <v>220</v>
      </c>
      <c r="C28" s="371">
        <v>2</v>
      </c>
      <c r="D28" s="372">
        <v>2</v>
      </c>
      <c r="E28" s="371" t="s">
        <v>304</v>
      </c>
      <c r="F28" s="371" t="s">
        <v>75</v>
      </c>
      <c r="G28" s="371" t="s">
        <v>216</v>
      </c>
      <c r="H28" s="371" t="s">
        <v>791</v>
      </c>
      <c r="I28" s="371" t="s">
        <v>318</v>
      </c>
      <c r="J28" s="388" t="s">
        <v>307</v>
      </c>
      <c r="K28" s="373" t="str">
        <f>IF(O28="Zauberspruch",L28,O28)</f>
        <v>Dweomer</v>
      </c>
      <c r="L28" s="376" t="s">
        <v>138</v>
      </c>
      <c r="M28" s="376" t="s">
        <v>301</v>
      </c>
      <c r="N28" s="376" t="s">
        <v>302</v>
      </c>
      <c r="O28" s="376" t="s">
        <v>146</v>
      </c>
      <c r="P28" s="391" t="s">
        <v>1190</v>
      </c>
      <c r="Q28" s="367" t="s">
        <v>748</v>
      </c>
      <c r="R28" s="367">
        <v>149</v>
      </c>
    </row>
    <row r="29" spans="1:18" ht="20.100000000000001" customHeight="1" x14ac:dyDescent="0.2">
      <c r="A29" s="377" t="s">
        <v>1602</v>
      </c>
      <c r="B29" s="371" t="s">
        <v>220</v>
      </c>
      <c r="C29" s="371">
        <v>4</v>
      </c>
      <c r="D29" s="372">
        <v>2</v>
      </c>
      <c r="E29" s="371" t="s">
        <v>299</v>
      </c>
      <c r="F29" s="371" t="s">
        <v>75</v>
      </c>
      <c r="G29" s="371" t="s">
        <v>216</v>
      </c>
      <c r="H29" s="371" t="s">
        <v>770</v>
      </c>
      <c r="I29" s="371" t="s">
        <v>299</v>
      </c>
      <c r="J29" s="371" t="s">
        <v>300</v>
      </c>
      <c r="K29" s="373" t="str">
        <f>IF(O29="Zauberspruch",L29,O29)</f>
        <v>Zauberrune</v>
      </c>
      <c r="L29" s="373" t="s">
        <v>138</v>
      </c>
      <c r="M29" s="374" t="s">
        <v>319</v>
      </c>
      <c r="N29" s="374" t="s">
        <v>302</v>
      </c>
      <c r="O29" s="404" t="s">
        <v>1601</v>
      </c>
      <c r="P29" s="368" t="s">
        <v>1708</v>
      </c>
      <c r="Q29" s="367" t="s">
        <v>1321</v>
      </c>
      <c r="R29" s="367">
        <v>68</v>
      </c>
    </row>
    <row r="30" spans="1:18" ht="20.100000000000001" customHeight="1" x14ac:dyDescent="0.2">
      <c r="A30" s="377" t="s">
        <v>343</v>
      </c>
      <c r="B30" s="371" t="s">
        <v>218</v>
      </c>
      <c r="C30" s="371">
        <v>2</v>
      </c>
      <c r="D30" s="371">
        <v>1</v>
      </c>
      <c r="E30" s="371" t="s">
        <v>304</v>
      </c>
      <c r="F30" s="371" t="s">
        <v>75</v>
      </c>
      <c r="G30" s="371" t="s">
        <v>216</v>
      </c>
      <c r="H30" s="371" t="s">
        <v>791</v>
      </c>
      <c r="I30" s="371" t="s">
        <v>344</v>
      </c>
      <c r="J30" s="371" t="s">
        <v>307</v>
      </c>
      <c r="K30" s="373" t="str">
        <f>IF(O30="Zauberspruch",L30,O30)</f>
        <v>Dweomer</v>
      </c>
      <c r="L30" s="373" t="s">
        <v>138</v>
      </c>
      <c r="M30" s="373" t="s">
        <v>301</v>
      </c>
      <c r="N30" s="373" t="s">
        <v>302</v>
      </c>
      <c r="O30" s="376" t="s">
        <v>146</v>
      </c>
      <c r="P30" s="394" t="s">
        <v>75</v>
      </c>
      <c r="Q30" s="367" t="s">
        <v>748</v>
      </c>
      <c r="R30" s="367">
        <v>150</v>
      </c>
    </row>
    <row r="31" spans="1:18" ht="20.100000000000001" customHeight="1" x14ac:dyDescent="0.2">
      <c r="A31" s="377" t="s">
        <v>1837</v>
      </c>
      <c r="B31" s="371" t="s">
        <v>219</v>
      </c>
      <c r="C31" s="371">
        <v>11</v>
      </c>
      <c r="D31" s="372">
        <v>9</v>
      </c>
      <c r="E31" s="371" t="s">
        <v>324</v>
      </c>
      <c r="F31" s="371" t="s">
        <v>359</v>
      </c>
      <c r="G31" s="371" t="s">
        <v>216</v>
      </c>
      <c r="H31" s="371" t="s">
        <v>774</v>
      </c>
      <c r="I31" s="371" t="s">
        <v>493</v>
      </c>
      <c r="J31" s="388" t="s">
        <v>307</v>
      </c>
      <c r="K31" s="373" t="str">
        <f>IF(O31="Zauberspruch",L31,O31)</f>
        <v>Dweomer</v>
      </c>
      <c r="L31" s="376" t="s">
        <v>138</v>
      </c>
      <c r="M31" s="376" t="s">
        <v>308</v>
      </c>
      <c r="N31" s="376" t="s">
        <v>301</v>
      </c>
      <c r="O31" s="376" t="s">
        <v>146</v>
      </c>
      <c r="P31" s="376" t="s">
        <v>75</v>
      </c>
      <c r="Q31" s="367" t="s">
        <v>1872</v>
      </c>
      <c r="R31" s="367">
        <v>20</v>
      </c>
    </row>
    <row r="32" spans="1:18" ht="20.100000000000001" customHeight="1" x14ac:dyDescent="0.2">
      <c r="A32" s="377" t="s">
        <v>1838</v>
      </c>
      <c r="B32" s="371" t="s">
        <v>219</v>
      </c>
      <c r="C32" s="371">
        <v>12</v>
      </c>
      <c r="D32" s="371">
        <v>12</v>
      </c>
      <c r="E32" s="371" t="s">
        <v>367</v>
      </c>
      <c r="F32" s="371" t="s">
        <v>1839</v>
      </c>
      <c r="G32" s="371" t="s">
        <v>216</v>
      </c>
      <c r="H32" s="371" t="s">
        <v>774</v>
      </c>
      <c r="I32" s="371" t="s">
        <v>369</v>
      </c>
      <c r="J32" s="371" t="s">
        <v>307</v>
      </c>
      <c r="K32" s="373" t="str">
        <f>IF(O32="Zauberspruch",L32,O32)</f>
        <v>Dweomer</v>
      </c>
      <c r="L32" s="373" t="s">
        <v>145</v>
      </c>
      <c r="M32" s="373" t="s">
        <v>308</v>
      </c>
      <c r="N32" s="373" t="s">
        <v>301</v>
      </c>
      <c r="O32" s="376" t="s">
        <v>146</v>
      </c>
      <c r="P32" s="376" t="s">
        <v>75</v>
      </c>
      <c r="Q32" s="367" t="s">
        <v>1872</v>
      </c>
      <c r="R32" s="367">
        <v>20</v>
      </c>
    </row>
    <row r="33" spans="1:18" ht="20.100000000000001" customHeight="1" x14ac:dyDescent="0.2">
      <c r="A33" s="377" t="s">
        <v>1603</v>
      </c>
      <c r="B33" s="371" t="s">
        <v>220</v>
      </c>
      <c r="C33" s="371">
        <v>1</v>
      </c>
      <c r="D33" s="372">
        <v>1</v>
      </c>
      <c r="E33" s="371" t="s">
        <v>299</v>
      </c>
      <c r="F33" s="371" t="s">
        <v>25</v>
      </c>
      <c r="G33" s="371" t="s">
        <v>217</v>
      </c>
      <c r="H33" s="371" t="s">
        <v>774</v>
      </c>
      <c r="I33" s="371" t="s">
        <v>316</v>
      </c>
      <c r="J33" s="371" t="s">
        <v>300</v>
      </c>
      <c r="K33" s="373" t="str">
        <f>IF(O33="Zauberspruch",L33,O33)</f>
        <v>Zauberrune</v>
      </c>
      <c r="L33" s="373" t="s">
        <v>143</v>
      </c>
      <c r="M33" s="374" t="s">
        <v>301</v>
      </c>
      <c r="N33" s="374" t="s">
        <v>329</v>
      </c>
      <c r="O33" s="404" t="s">
        <v>1601</v>
      </c>
      <c r="P33" s="368" t="s">
        <v>1709</v>
      </c>
      <c r="Q33" s="367" t="s">
        <v>1321</v>
      </c>
      <c r="R33" s="367">
        <v>68</v>
      </c>
    </row>
    <row r="34" spans="1:18" ht="20.100000000000001" customHeight="1" x14ac:dyDescent="0.2">
      <c r="A34" s="377" t="s">
        <v>1501</v>
      </c>
      <c r="B34" s="371" t="s">
        <v>219</v>
      </c>
      <c r="C34" s="371">
        <v>5</v>
      </c>
      <c r="D34" s="372">
        <v>3</v>
      </c>
      <c r="E34" s="371" t="s">
        <v>304</v>
      </c>
      <c r="F34" s="371" t="s">
        <v>321</v>
      </c>
      <c r="G34" s="371" t="s">
        <v>215</v>
      </c>
      <c r="H34" s="371" t="s">
        <v>770</v>
      </c>
      <c r="I34" s="371" t="s">
        <v>306</v>
      </c>
      <c r="J34" s="371" t="s">
        <v>313</v>
      </c>
      <c r="K34" s="373" t="str">
        <f>IF(O34="Zauberspruch",L34,O34)</f>
        <v>Zaubersiegel</v>
      </c>
      <c r="L34" s="373" t="s">
        <v>138</v>
      </c>
      <c r="M34" s="374" t="s">
        <v>322</v>
      </c>
      <c r="N34" s="374" t="s">
        <v>314</v>
      </c>
      <c r="O34" s="404" t="s">
        <v>1322</v>
      </c>
      <c r="P34" s="368" t="s">
        <v>1497</v>
      </c>
      <c r="Q34" s="367" t="s">
        <v>1321</v>
      </c>
      <c r="R34" s="367">
        <v>55</v>
      </c>
    </row>
    <row r="35" spans="1:18" ht="20.100000000000001" customHeight="1" x14ac:dyDescent="0.2">
      <c r="A35" s="377" t="s">
        <v>345</v>
      </c>
      <c r="B35" s="371" t="s">
        <v>219</v>
      </c>
      <c r="C35" s="371">
        <v>5</v>
      </c>
      <c r="D35" s="372">
        <v>3</v>
      </c>
      <c r="E35" s="371" t="s">
        <v>311</v>
      </c>
      <c r="F35" s="371" t="s">
        <v>321</v>
      </c>
      <c r="G35" s="371" t="s">
        <v>215</v>
      </c>
      <c r="H35" s="371" t="s">
        <v>770</v>
      </c>
      <c r="I35" s="371" t="s">
        <v>306</v>
      </c>
      <c r="J35" s="371" t="s">
        <v>313</v>
      </c>
      <c r="K35" s="373" t="str">
        <f>IF(O35="Zauberspruch",L35,O35)</f>
        <v>Beherrschen</v>
      </c>
      <c r="L35" s="373" t="s">
        <v>137</v>
      </c>
      <c r="M35" s="374" t="s">
        <v>308</v>
      </c>
      <c r="N35" s="374" t="s">
        <v>314</v>
      </c>
      <c r="O35" s="373" t="s">
        <v>166</v>
      </c>
      <c r="P35" s="368" t="s">
        <v>75</v>
      </c>
      <c r="Q35" s="367" t="s">
        <v>748</v>
      </c>
      <c r="R35" s="367">
        <v>67</v>
      </c>
    </row>
    <row r="36" spans="1:18" ht="20.100000000000001" customHeight="1" x14ac:dyDescent="0.2">
      <c r="A36" s="397" t="s">
        <v>346</v>
      </c>
      <c r="B36" s="398" t="s">
        <v>220</v>
      </c>
      <c r="C36" s="398">
        <v>2</v>
      </c>
      <c r="D36" s="399">
        <v>2</v>
      </c>
      <c r="E36" s="398" t="s">
        <v>347</v>
      </c>
      <c r="F36" s="398" t="s">
        <v>25</v>
      </c>
      <c r="G36" s="398" t="s">
        <v>217</v>
      </c>
      <c r="H36" s="398" t="s">
        <v>774</v>
      </c>
      <c r="I36" s="371" t="s">
        <v>348</v>
      </c>
      <c r="J36" s="398" t="s">
        <v>313</v>
      </c>
      <c r="K36" s="373" t="str">
        <f>IF(O36="Zauberspruch",L36,O36)</f>
        <v>Bewegen</v>
      </c>
      <c r="L36" s="400" t="s">
        <v>140</v>
      </c>
      <c r="M36" s="401" t="s">
        <v>322</v>
      </c>
      <c r="N36" s="401" t="s">
        <v>319</v>
      </c>
      <c r="O36" s="400" t="s">
        <v>166</v>
      </c>
      <c r="P36" s="403" t="s">
        <v>1191</v>
      </c>
      <c r="Q36" s="402" t="s">
        <v>748</v>
      </c>
      <c r="R36" s="402">
        <v>67</v>
      </c>
    </row>
    <row r="37" spans="1:18" ht="20.100000000000001" customHeight="1" x14ac:dyDescent="0.2">
      <c r="A37" s="377" t="s">
        <v>1502</v>
      </c>
      <c r="B37" s="371" t="s">
        <v>219</v>
      </c>
      <c r="C37" s="371">
        <v>2</v>
      </c>
      <c r="D37" s="372">
        <v>2</v>
      </c>
      <c r="E37" s="371" t="s">
        <v>304</v>
      </c>
      <c r="F37" s="371" t="s">
        <v>25</v>
      </c>
      <c r="G37" s="371" t="s">
        <v>217</v>
      </c>
      <c r="H37" s="371" t="s">
        <v>774</v>
      </c>
      <c r="I37" s="371" t="s">
        <v>348</v>
      </c>
      <c r="J37" s="371" t="s">
        <v>313</v>
      </c>
      <c r="K37" s="373" t="str">
        <f>IF(O37="Zauberspruch",L37,O37)</f>
        <v>Zaubersiegel</v>
      </c>
      <c r="L37" s="373" t="s">
        <v>140</v>
      </c>
      <c r="M37" s="374" t="s">
        <v>322</v>
      </c>
      <c r="N37" s="374" t="s">
        <v>319</v>
      </c>
      <c r="O37" s="404" t="s">
        <v>1322</v>
      </c>
      <c r="P37" s="368" t="s">
        <v>1500</v>
      </c>
      <c r="Q37" s="367" t="s">
        <v>1321</v>
      </c>
      <c r="R37" s="367">
        <v>55</v>
      </c>
    </row>
    <row r="38" spans="1:18" ht="20.100000000000001" customHeight="1" x14ac:dyDescent="0.2">
      <c r="A38" s="377" t="s">
        <v>1604</v>
      </c>
      <c r="B38" s="371" t="s">
        <v>220</v>
      </c>
      <c r="C38" s="371">
        <v>5</v>
      </c>
      <c r="D38" s="372">
        <v>3</v>
      </c>
      <c r="E38" s="371" t="s">
        <v>299</v>
      </c>
      <c r="F38" s="371" t="s">
        <v>75</v>
      </c>
      <c r="G38" s="371" t="s">
        <v>216</v>
      </c>
      <c r="H38" s="371" t="s">
        <v>770</v>
      </c>
      <c r="I38" s="371" t="s">
        <v>397</v>
      </c>
      <c r="J38" s="371" t="s">
        <v>300</v>
      </c>
      <c r="K38" s="373" t="str">
        <f>IF(O38="Zauberspruch",L38,O38)</f>
        <v>Zauberrune</v>
      </c>
      <c r="L38" s="373" t="s">
        <v>138</v>
      </c>
      <c r="M38" s="374" t="s">
        <v>322</v>
      </c>
      <c r="N38" s="374" t="s">
        <v>309</v>
      </c>
      <c r="O38" s="404" t="s">
        <v>1601</v>
      </c>
      <c r="P38" s="368" t="s">
        <v>1710</v>
      </c>
      <c r="Q38" s="367" t="s">
        <v>1321</v>
      </c>
      <c r="R38" s="367">
        <v>69</v>
      </c>
    </row>
    <row r="39" spans="1:18" ht="20.100000000000001" customHeight="1" x14ac:dyDescent="0.2">
      <c r="A39" s="377" t="s">
        <v>349</v>
      </c>
      <c r="B39" s="371" t="s">
        <v>219</v>
      </c>
      <c r="C39" s="371">
        <v>5</v>
      </c>
      <c r="D39" s="387" t="s">
        <v>750</v>
      </c>
      <c r="E39" s="371" t="s">
        <v>311</v>
      </c>
      <c r="F39" s="371" t="s">
        <v>332</v>
      </c>
      <c r="G39" s="371" t="s">
        <v>215</v>
      </c>
      <c r="H39" s="371" t="s">
        <v>778</v>
      </c>
      <c r="I39" s="371">
        <v>0</v>
      </c>
      <c r="J39" s="388" t="s">
        <v>300</v>
      </c>
      <c r="K39" s="373" t="str">
        <f>IF(O39="Zauberspruch",L39,O39)</f>
        <v>Wundertat</v>
      </c>
      <c r="L39" s="376" t="s">
        <v>137</v>
      </c>
      <c r="M39" s="376" t="s">
        <v>314</v>
      </c>
      <c r="N39" s="376" t="s">
        <v>309</v>
      </c>
      <c r="O39" s="376" t="s">
        <v>1183</v>
      </c>
      <c r="P39" s="389" t="s">
        <v>75</v>
      </c>
      <c r="Q39" s="367" t="s">
        <v>748</v>
      </c>
      <c r="R39" s="367">
        <v>138</v>
      </c>
    </row>
    <row r="40" spans="1:18" ht="20.100000000000001" customHeight="1" x14ac:dyDescent="0.2">
      <c r="A40" s="377" t="s">
        <v>350</v>
      </c>
      <c r="B40" s="371" t="s">
        <v>219</v>
      </c>
      <c r="C40" s="371">
        <v>3</v>
      </c>
      <c r="D40" s="372" t="s">
        <v>750</v>
      </c>
      <c r="E40" s="371" t="s">
        <v>311</v>
      </c>
      <c r="F40" s="371" t="s">
        <v>305</v>
      </c>
      <c r="G40" s="371" t="s">
        <v>215</v>
      </c>
      <c r="H40" s="371" t="s">
        <v>770</v>
      </c>
      <c r="I40" s="371">
        <v>0</v>
      </c>
      <c r="J40" s="371" t="s">
        <v>313</v>
      </c>
      <c r="K40" s="373" t="str">
        <f>IF(O40="Zauberspruch",L40,O40)</f>
        <v>Beherrschen</v>
      </c>
      <c r="L40" s="373" t="s">
        <v>137</v>
      </c>
      <c r="M40" s="374" t="s">
        <v>309</v>
      </c>
      <c r="N40" s="374" t="s">
        <v>309</v>
      </c>
      <c r="O40" s="373" t="s">
        <v>166</v>
      </c>
      <c r="P40" s="368" t="s">
        <v>75</v>
      </c>
      <c r="Q40" s="367" t="s">
        <v>748</v>
      </c>
      <c r="R40" s="367">
        <v>67</v>
      </c>
    </row>
    <row r="41" spans="1:18" ht="20.100000000000001" customHeight="1" x14ac:dyDescent="0.2">
      <c r="A41" s="377" t="s">
        <v>351</v>
      </c>
      <c r="B41" s="371" t="s">
        <v>220</v>
      </c>
      <c r="C41" s="371">
        <v>6</v>
      </c>
      <c r="D41" s="372">
        <v>6</v>
      </c>
      <c r="E41" s="371" t="s">
        <v>311</v>
      </c>
      <c r="F41" s="371" t="s">
        <v>321</v>
      </c>
      <c r="G41" s="371" t="s">
        <v>216</v>
      </c>
      <c r="H41" s="371" t="s">
        <v>770</v>
      </c>
      <c r="I41" s="371" t="s">
        <v>347</v>
      </c>
      <c r="J41" s="371" t="s">
        <v>313</v>
      </c>
      <c r="K41" s="373" t="str">
        <f>IF(O41="Zauberspruch",L41,O41)</f>
        <v>Verändern</v>
      </c>
      <c r="L41" s="373" t="s">
        <v>138</v>
      </c>
      <c r="M41" s="374" t="s">
        <v>322</v>
      </c>
      <c r="N41" s="374" t="s">
        <v>302</v>
      </c>
      <c r="O41" s="373" t="s">
        <v>166</v>
      </c>
      <c r="P41" s="368" t="s">
        <v>75</v>
      </c>
      <c r="Q41" s="367" t="s">
        <v>748</v>
      </c>
      <c r="R41" s="367">
        <v>68</v>
      </c>
    </row>
    <row r="42" spans="1:18" ht="20.100000000000001" customHeight="1" x14ac:dyDescent="0.2">
      <c r="A42" s="377" t="s">
        <v>1503</v>
      </c>
      <c r="B42" s="371" t="s">
        <v>219</v>
      </c>
      <c r="C42" s="371">
        <v>6</v>
      </c>
      <c r="D42" s="372">
        <v>6</v>
      </c>
      <c r="E42" s="371" t="s">
        <v>304</v>
      </c>
      <c r="F42" s="371" t="s">
        <v>321</v>
      </c>
      <c r="G42" s="371" t="s">
        <v>216</v>
      </c>
      <c r="H42" s="371" t="s">
        <v>770</v>
      </c>
      <c r="I42" s="371" t="s">
        <v>347</v>
      </c>
      <c r="J42" s="371" t="s">
        <v>313</v>
      </c>
      <c r="K42" s="373" t="str">
        <f>IF(O42="Zauberspruch",L42,O42)</f>
        <v>Zaubersiegel</v>
      </c>
      <c r="L42" s="373" t="s">
        <v>138</v>
      </c>
      <c r="M42" s="374" t="s">
        <v>322</v>
      </c>
      <c r="N42" s="374" t="s">
        <v>302</v>
      </c>
      <c r="O42" s="404" t="s">
        <v>1322</v>
      </c>
      <c r="P42" s="368" t="s">
        <v>1504</v>
      </c>
      <c r="Q42" s="367" t="s">
        <v>1321</v>
      </c>
      <c r="R42" s="367">
        <v>56</v>
      </c>
    </row>
    <row r="43" spans="1:18" ht="20.100000000000001" customHeight="1" x14ac:dyDescent="0.2">
      <c r="A43" s="377" t="s">
        <v>1653</v>
      </c>
      <c r="B43" s="371" t="s">
        <v>220</v>
      </c>
      <c r="C43" s="371">
        <v>12</v>
      </c>
      <c r="D43" s="372">
        <v>12</v>
      </c>
      <c r="E43" s="371" t="s">
        <v>299</v>
      </c>
      <c r="F43" s="371" t="s">
        <v>332</v>
      </c>
      <c r="G43" s="371" t="s">
        <v>217</v>
      </c>
      <c r="H43" s="371" t="s">
        <v>774</v>
      </c>
      <c r="I43" s="371" t="s">
        <v>369</v>
      </c>
      <c r="J43" s="371" t="s">
        <v>313</v>
      </c>
      <c r="K43" s="373" t="str">
        <f>IF(O43="Zauberspruch",L43,O43)</f>
        <v>Erhaltung</v>
      </c>
      <c r="L43" s="373" t="s">
        <v>148</v>
      </c>
      <c r="M43" s="374" t="s">
        <v>319</v>
      </c>
      <c r="N43" s="374" t="s">
        <v>322</v>
      </c>
      <c r="O43" s="404" t="s">
        <v>1650</v>
      </c>
      <c r="P43" s="368" t="s">
        <v>75</v>
      </c>
      <c r="Q43" s="367" t="s">
        <v>1321</v>
      </c>
      <c r="R43" s="367">
        <v>131</v>
      </c>
    </row>
    <row r="44" spans="1:18" ht="20.100000000000001" customHeight="1" x14ac:dyDescent="0.2">
      <c r="A44" s="377" t="s">
        <v>352</v>
      </c>
      <c r="B44" s="371" t="s">
        <v>218</v>
      </c>
      <c r="C44" s="371">
        <v>6</v>
      </c>
      <c r="D44" s="372">
        <v>3</v>
      </c>
      <c r="E44" s="371" t="s">
        <v>304</v>
      </c>
      <c r="F44" s="371" t="s">
        <v>25</v>
      </c>
      <c r="G44" s="371" t="s">
        <v>215</v>
      </c>
      <c r="H44" s="371" t="s">
        <v>779</v>
      </c>
      <c r="I44" s="371" t="s">
        <v>312</v>
      </c>
      <c r="J44" s="371" t="s">
        <v>313</v>
      </c>
      <c r="K44" s="373" t="str">
        <f>IF(O44="Zauberspruch",L44,O44)</f>
        <v>Beherrschen</v>
      </c>
      <c r="L44" s="373" t="s">
        <v>137</v>
      </c>
      <c r="M44" s="374" t="s">
        <v>309</v>
      </c>
      <c r="N44" s="374" t="s">
        <v>309</v>
      </c>
      <c r="O44" s="373" t="s">
        <v>166</v>
      </c>
      <c r="P44" s="368" t="s">
        <v>75</v>
      </c>
      <c r="Q44" s="367" t="s">
        <v>748</v>
      </c>
      <c r="R44" s="367">
        <v>68</v>
      </c>
    </row>
    <row r="45" spans="1:18" ht="20.100000000000001" customHeight="1" x14ac:dyDescent="0.2">
      <c r="A45" s="377" t="s">
        <v>1438</v>
      </c>
      <c r="B45" s="371" t="s">
        <v>218</v>
      </c>
      <c r="C45" s="371">
        <v>1</v>
      </c>
      <c r="D45" s="372">
        <v>1</v>
      </c>
      <c r="E45" s="371" t="s">
        <v>304</v>
      </c>
      <c r="F45" s="371" t="s">
        <v>472</v>
      </c>
      <c r="G45" s="371" t="s">
        <v>217</v>
      </c>
      <c r="H45" s="371" t="s">
        <v>774</v>
      </c>
      <c r="I45" s="371">
        <v>0</v>
      </c>
      <c r="J45" s="371" t="s">
        <v>313</v>
      </c>
      <c r="K45" s="373" t="str">
        <f>IF(O45="Zauberspruch",L45,O45)</f>
        <v>Zaubersalz</v>
      </c>
      <c r="L45" s="373" t="s">
        <v>141</v>
      </c>
      <c r="M45" s="374" t="s">
        <v>329</v>
      </c>
      <c r="N45" s="374" t="s">
        <v>301</v>
      </c>
      <c r="O45" s="404" t="s">
        <v>1439</v>
      </c>
      <c r="P45" s="368" t="s">
        <v>1706</v>
      </c>
      <c r="Q45" s="367" t="s">
        <v>1321</v>
      </c>
      <c r="R45" s="367">
        <v>44</v>
      </c>
    </row>
    <row r="46" spans="1:18" ht="20.100000000000001" customHeight="1" x14ac:dyDescent="0.2">
      <c r="A46" s="377" t="s">
        <v>353</v>
      </c>
      <c r="B46" s="371" t="s">
        <v>220</v>
      </c>
      <c r="C46" s="371">
        <v>3</v>
      </c>
      <c r="D46" s="372">
        <v>2</v>
      </c>
      <c r="E46" s="371" t="s">
        <v>354</v>
      </c>
      <c r="F46" s="371" t="s">
        <v>332</v>
      </c>
      <c r="G46" s="371" t="s">
        <v>215</v>
      </c>
      <c r="H46" s="371" t="s">
        <v>777</v>
      </c>
      <c r="I46" s="371" t="s">
        <v>318</v>
      </c>
      <c r="J46" s="371" t="s">
        <v>300</v>
      </c>
      <c r="K46" s="373" t="str">
        <f>IF(O46="Zauberspruch",L46,O46)</f>
        <v>Beherrschen</v>
      </c>
      <c r="L46" s="373" t="s">
        <v>137</v>
      </c>
      <c r="M46" s="374" t="s">
        <v>314</v>
      </c>
      <c r="N46" s="374" t="s">
        <v>329</v>
      </c>
      <c r="O46" s="373" t="s">
        <v>166</v>
      </c>
      <c r="P46" s="368" t="s">
        <v>75</v>
      </c>
      <c r="Q46" s="367" t="s">
        <v>748</v>
      </c>
      <c r="R46" s="367">
        <v>68</v>
      </c>
    </row>
    <row r="47" spans="1:18" ht="20.100000000000001" customHeight="1" x14ac:dyDescent="0.2">
      <c r="A47" s="377" t="s">
        <v>1505</v>
      </c>
      <c r="B47" s="371" t="s">
        <v>219</v>
      </c>
      <c r="C47" s="371">
        <v>3</v>
      </c>
      <c r="D47" s="372">
        <v>2</v>
      </c>
      <c r="E47" s="371" t="s">
        <v>304</v>
      </c>
      <c r="F47" s="371" t="s">
        <v>332</v>
      </c>
      <c r="G47" s="371" t="s">
        <v>215</v>
      </c>
      <c r="H47" s="371" t="s">
        <v>777</v>
      </c>
      <c r="I47" s="371" t="s">
        <v>318</v>
      </c>
      <c r="J47" s="371" t="s">
        <v>300</v>
      </c>
      <c r="K47" s="373" t="str">
        <f>IF(O47="Zauberspruch",L47,O47)</f>
        <v>Zaubersiegel</v>
      </c>
      <c r="L47" s="373" t="s">
        <v>137</v>
      </c>
      <c r="M47" s="374" t="s">
        <v>314</v>
      </c>
      <c r="N47" s="374" t="s">
        <v>329</v>
      </c>
      <c r="O47" s="404" t="s">
        <v>1322</v>
      </c>
      <c r="P47" s="368" t="s">
        <v>1506</v>
      </c>
      <c r="Q47" s="367" t="s">
        <v>1321</v>
      </c>
      <c r="R47" s="367">
        <v>56</v>
      </c>
    </row>
    <row r="48" spans="1:18" ht="20.100000000000001" customHeight="1" x14ac:dyDescent="0.2">
      <c r="A48" s="377" t="s">
        <v>355</v>
      </c>
      <c r="B48" s="371" t="s">
        <v>220</v>
      </c>
      <c r="C48" s="371">
        <v>7</v>
      </c>
      <c r="D48" s="372">
        <v>4</v>
      </c>
      <c r="E48" s="371" t="s">
        <v>354</v>
      </c>
      <c r="F48" s="371" t="s">
        <v>305</v>
      </c>
      <c r="G48" s="371" t="s">
        <v>215</v>
      </c>
      <c r="H48" s="371" t="s">
        <v>780</v>
      </c>
      <c r="I48" s="371" t="s">
        <v>306</v>
      </c>
      <c r="J48" s="371" t="s">
        <v>300</v>
      </c>
      <c r="K48" s="373" t="str">
        <f>IF(O48="Zauberspruch",L48,O48)</f>
        <v>Beherrschen</v>
      </c>
      <c r="L48" s="373" t="s">
        <v>137</v>
      </c>
      <c r="M48" s="374" t="s">
        <v>314</v>
      </c>
      <c r="N48" s="374" t="s">
        <v>329</v>
      </c>
      <c r="O48" s="373" t="s">
        <v>166</v>
      </c>
      <c r="P48" s="368" t="s">
        <v>356</v>
      </c>
      <c r="Q48" s="367" t="s">
        <v>748</v>
      </c>
      <c r="R48" s="367">
        <v>69</v>
      </c>
    </row>
    <row r="49" spans="1:18" ht="20.100000000000001" customHeight="1" x14ac:dyDescent="0.2">
      <c r="A49" s="377" t="s">
        <v>357</v>
      </c>
      <c r="B49" s="371" t="s">
        <v>220</v>
      </c>
      <c r="C49" s="371">
        <v>8</v>
      </c>
      <c r="D49" s="372">
        <v>4</v>
      </c>
      <c r="E49" s="371" t="s">
        <v>304</v>
      </c>
      <c r="F49" s="371" t="s">
        <v>768</v>
      </c>
      <c r="G49" s="371" t="s">
        <v>217</v>
      </c>
      <c r="H49" s="371" t="s">
        <v>75</v>
      </c>
      <c r="I49" s="371" t="s">
        <v>347</v>
      </c>
      <c r="J49" s="371" t="s">
        <v>300</v>
      </c>
      <c r="K49" s="373" t="str">
        <f>IF(O49="Zauberspruch",L49,O49)</f>
        <v>Erschaffen</v>
      </c>
      <c r="L49" s="373" t="s">
        <v>145</v>
      </c>
      <c r="M49" s="374" t="s">
        <v>308</v>
      </c>
      <c r="N49" s="374" t="s">
        <v>308</v>
      </c>
      <c r="O49" s="373" t="s">
        <v>166</v>
      </c>
      <c r="P49" s="368" t="s">
        <v>75</v>
      </c>
      <c r="Q49" s="367" t="s">
        <v>748</v>
      </c>
      <c r="R49" s="367">
        <v>69</v>
      </c>
    </row>
    <row r="50" spans="1:18" ht="20.100000000000001" customHeight="1" x14ac:dyDescent="0.2">
      <c r="A50" s="377" t="s">
        <v>1473</v>
      </c>
      <c r="B50" s="371" t="s">
        <v>220</v>
      </c>
      <c r="C50" s="371">
        <v>8</v>
      </c>
      <c r="D50" s="372">
        <v>4</v>
      </c>
      <c r="E50" s="371" t="s">
        <v>304</v>
      </c>
      <c r="F50" s="371" t="s">
        <v>75</v>
      </c>
      <c r="G50" s="371" t="s">
        <v>217</v>
      </c>
      <c r="H50" s="371" t="s">
        <v>427</v>
      </c>
      <c r="I50" s="371" t="s">
        <v>347</v>
      </c>
      <c r="J50" s="371" t="s">
        <v>300</v>
      </c>
      <c r="K50" s="373" t="str">
        <f>IF(O50="Zauberspruch",L50,O50)</f>
        <v>Runenstab</v>
      </c>
      <c r="L50" s="373" t="s">
        <v>145</v>
      </c>
      <c r="M50" s="374" t="s">
        <v>308</v>
      </c>
      <c r="N50" s="374" t="s">
        <v>308</v>
      </c>
      <c r="O50" s="404" t="s">
        <v>1472</v>
      </c>
      <c r="P50" s="368" t="s">
        <v>75</v>
      </c>
      <c r="Q50" s="367" t="s">
        <v>1321</v>
      </c>
      <c r="R50" s="367">
        <v>51</v>
      </c>
    </row>
    <row r="51" spans="1:18" ht="20.100000000000001" customHeight="1" x14ac:dyDescent="0.2">
      <c r="A51" s="377" t="s">
        <v>1440</v>
      </c>
      <c r="B51" s="371" t="s">
        <v>218</v>
      </c>
      <c r="C51" s="371">
        <v>2</v>
      </c>
      <c r="D51" s="372">
        <v>1</v>
      </c>
      <c r="E51" s="371" t="s">
        <v>304</v>
      </c>
      <c r="F51" s="371" t="s">
        <v>472</v>
      </c>
      <c r="G51" s="371" t="s">
        <v>217</v>
      </c>
      <c r="H51" s="371" t="s">
        <v>780</v>
      </c>
      <c r="I51" s="371" t="s">
        <v>311</v>
      </c>
      <c r="J51" s="371" t="s">
        <v>313</v>
      </c>
      <c r="K51" s="373" t="str">
        <f>IF(O51="Zauberspruch",L51,O51)</f>
        <v>Zaubersalz</v>
      </c>
      <c r="L51" s="373" t="s">
        <v>145</v>
      </c>
      <c r="M51" s="374" t="s">
        <v>308</v>
      </c>
      <c r="N51" s="374" t="s">
        <v>308</v>
      </c>
      <c r="O51" s="404" t="s">
        <v>1439</v>
      </c>
      <c r="P51" s="368" t="s">
        <v>1706</v>
      </c>
      <c r="Q51" s="367" t="s">
        <v>1321</v>
      </c>
      <c r="R51" s="367">
        <v>44</v>
      </c>
    </row>
    <row r="52" spans="1:18" ht="20.100000000000001" customHeight="1" x14ac:dyDescent="0.2">
      <c r="A52" s="377" t="s">
        <v>358</v>
      </c>
      <c r="B52" s="371" t="s">
        <v>220</v>
      </c>
      <c r="C52" s="371">
        <v>8</v>
      </c>
      <c r="D52" s="372">
        <v>4</v>
      </c>
      <c r="E52" s="371" t="s">
        <v>311</v>
      </c>
      <c r="F52" s="371" t="s">
        <v>359</v>
      </c>
      <c r="G52" s="371" t="s">
        <v>215</v>
      </c>
      <c r="H52" s="371" t="s">
        <v>775</v>
      </c>
      <c r="I52" s="371" t="s">
        <v>360</v>
      </c>
      <c r="J52" s="371" t="s">
        <v>313</v>
      </c>
      <c r="K52" s="373" t="str">
        <f>IF(O52="Zauberspruch",L52,O52)</f>
        <v>Beherrschen</v>
      </c>
      <c r="L52" s="373" t="s">
        <v>137</v>
      </c>
      <c r="M52" s="374" t="s">
        <v>322</v>
      </c>
      <c r="N52" s="374" t="s">
        <v>308</v>
      </c>
      <c r="O52" s="373" t="s">
        <v>166</v>
      </c>
      <c r="P52" s="368" t="s">
        <v>361</v>
      </c>
      <c r="Q52" s="367" t="s">
        <v>748</v>
      </c>
      <c r="R52" s="367">
        <v>69</v>
      </c>
    </row>
    <row r="53" spans="1:18" ht="20.100000000000001" customHeight="1" x14ac:dyDescent="0.2">
      <c r="A53" s="377" t="s">
        <v>1441</v>
      </c>
      <c r="B53" s="371" t="s">
        <v>218</v>
      </c>
      <c r="C53" s="371">
        <v>2</v>
      </c>
      <c r="D53" s="372">
        <v>1</v>
      </c>
      <c r="E53" s="371" t="s">
        <v>304</v>
      </c>
      <c r="F53" s="371" t="s">
        <v>472</v>
      </c>
      <c r="G53" s="371" t="s">
        <v>217</v>
      </c>
      <c r="H53" s="371" t="s">
        <v>778</v>
      </c>
      <c r="I53" s="371" t="s">
        <v>311</v>
      </c>
      <c r="J53" s="371" t="s">
        <v>313</v>
      </c>
      <c r="K53" s="373" t="str">
        <f>IF(O53="Zauberspruch",L53,O53)</f>
        <v>Zaubersalz</v>
      </c>
      <c r="L53" s="373" t="s">
        <v>137</v>
      </c>
      <c r="M53" s="374" t="s">
        <v>322</v>
      </c>
      <c r="N53" s="374" t="s">
        <v>308</v>
      </c>
      <c r="O53" s="404" t="s">
        <v>1439</v>
      </c>
      <c r="P53" s="368" t="s">
        <v>1706</v>
      </c>
      <c r="Q53" s="367" t="s">
        <v>1321</v>
      </c>
      <c r="R53" s="367">
        <v>44</v>
      </c>
    </row>
    <row r="54" spans="1:18" ht="20.100000000000001" customHeight="1" x14ac:dyDescent="0.2">
      <c r="A54" s="377" t="s">
        <v>362</v>
      </c>
      <c r="B54" s="371" t="s">
        <v>220</v>
      </c>
      <c r="C54" s="371">
        <v>6</v>
      </c>
      <c r="D54" s="372" t="s">
        <v>751</v>
      </c>
      <c r="E54" s="371" t="s">
        <v>311</v>
      </c>
      <c r="F54" s="371" t="s">
        <v>363</v>
      </c>
      <c r="G54" s="371" t="s">
        <v>217</v>
      </c>
      <c r="H54" s="371" t="s">
        <v>364</v>
      </c>
      <c r="I54" s="371">
        <v>0</v>
      </c>
      <c r="J54" s="371" t="s">
        <v>313</v>
      </c>
      <c r="K54" s="373" t="str">
        <f>IF(O54="Zauberspruch",L54,O54)</f>
        <v>Erschaffen</v>
      </c>
      <c r="L54" s="373" t="s">
        <v>145</v>
      </c>
      <c r="M54" s="374" t="s">
        <v>314</v>
      </c>
      <c r="N54" s="374" t="s">
        <v>308</v>
      </c>
      <c r="O54" s="373" t="s">
        <v>166</v>
      </c>
      <c r="P54" s="368" t="s">
        <v>365</v>
      </c>
      <c r="Q54" s="367" t="s">
        <v>748</v>
      </c>
      <c r="R54" s="367">
        <v>70</v>
      </c>
    </row>
    <row r="55" spans="1:18" ht="20.100000000000001" customHeight="1" x14ac:dyDescent="0.2">
      <c r="A55" s="377" t="s">
        <v>1474</v>
      </c>
      <c r="B55" s="371" t="s">
        <v>220</v>
      </c>
      <c r="C55" s="371">
        <v>6</v>
      </c>
      <c r="D55" s="372">
        <v>2</v>
      </c>
      <c r="E55" s="371" t="s">
        <v>304</v>
      </c>
      <c r="F55" s="371" t="s">
        <v>363</v>
      </c>
      <c r="G55" s="371" t="s">
        <v>217</v>
      </c>
      <c r="H55" s="371" t="s">
        <v>374</v>
      </c>
      <c r="I55" s="371">
        <v>0</v>
      </c>
      <c r="J55" s="371" t="s">
        <v>313</v>
      </c>
      <c r="K55" s="373" t="str">
        <f>IF(O55="Zauberspruch",L55,O55)</f>
        <v>Runenstab</v>
      </c>
      <c r="L55" s="373" t="s">
        <v>145</v>
      </c>
      <c r="M55" s="374" t="s">
        <v>314</v>
      </c>
      <c r="N55" s="374" t="s">
        <v>308</v>
      </c>
      <c r="O55" s="404" t="s">
        <v>1472</v>
      </c>
      <c r="P55" s="368" t="s">
        <v>75</v>
      </c>
      <c r="Q55" s="367" t="s">
        <v>1321</v>
      </c>
      <c r="R55" s="367">
        <v>51</v>
      </c>
    </row>
    <row r="56" spans="1:18" ht="20.100000000000001" customHeight="1" x14ac:dyDescent="0.2">
      <c r="A56" s="377" t="s">
        <v>366</v>
      </c>
      <c r="B56" s="371" t="s">
        <v>218</v>
      </c>
      <c r="C56" s="371">
        <v>2</v>
      </c>
      <c r="D56" s="387" t="s">
        <v>752</v>
      </c>
      <c r="E56" s="371" t="s">
        <v>311</v>
      </c>
      <c r="F56" s="371" t="s">
        <v>75</v>
      </c>
      <c r="G56" s="371" t="s">
        <v>216</v>
      </c>
      <c r="H56" s="371" t="s">
        <v>791</v>
      </c>
      <c r="I56" s="371" t="s">
        <v>367</v>
      </c>
      <c r="J56" s="388" t="s">
        <v>300</v>
      </c>
      <c r="K56" s="373" t="str">
        <f>IF(O56="Zauberspruch",L56,O56)</f>
        <v>Wundertat</v>
      </c>
      <c r="L56" s="376" t="s">
        <v>138</v>
      </c>
      <c r="M56" s="376" t="s">
        <v>302</v>
      </c>
      <c r="N56" s="376" t="s">
        <v>301</v>
      </c>
      <c r="O56" s="376" t="s">
        <v>1183</v>
      </c>
      <c r="P56" s="389" t="s">
        <v>75</v>
      </c>
      <c r="Q56" s="367" t="s">
        <v>748</v>
      </c>
      <c r="R56" s="367">
        <v>138</v>
      </c>
    </row>
    <row r="57" spans="1:18" ht="20.100000000000001" customHeight="1" x14ac:dyDescent="0.2">
      <c r="A57" s="377" t="s">
        <v>1826</v>
      </c>
      <c r="B57" s="371" t="s">
        <v>220</v>
      </c>
      <c r="C57" s="371">
        <v>8</v>
      </c>
      <c r="D57" s="371">
        <v>4</v>
      </c>
      <c r="E57" s="371" t="s">
        <v>493</v>
      </c>
      <c r="F57" s="371" t="s">
        <v>25</v>
      </c>
      <c r="G57" s="371" t="s">
        <v>215</v>
      </c>
      <c r="H57" s="371" t="s">
        <v>1396</v>
      </c>
      <c r="I57" s="371">
        <v>0</v>
      </c>
      <c r="J57" s="371" t="s">
        <v>300</v>
      </c>
      <c r="K57" s="373" t="str">
        <f>IF(O57="Zauberspruch",L57,O57)</f>
        <v>Wundertat</v>
      </c>
      <c r="L57" s="373" t="s">
        <v>145</v>
      </c>
      <c r="M57" s="373" t="s">
        <v>309</v>
      </c>
      <c r="N57" s="373" t="s">
        <v>314</v>
      </c>
      <c r="O57" s="376" t="s">
        <v>1183</v>
      </c>
      <c r="P57" s="376" t="s">
        <v>75</v>
      </c>
      <c r="Q57" s="367" t="s">
        <v>1872</v>
      </c>
      <c r="R57" s="367">
        <v>15</v>
      </c>
    </row>
    <row r="58" spans="1:18" ht="20.100000000000001" customHeight="1" x14ac:dyDescent="0.2">
      <c r="A58" s="377" t="s">
        <v>368</v>
      </c>
      <c r="B58" s="371" t="s">
        <v>218</v>
      </c>
      <c r="C58" s="371">
        <v>4</v>
      </c>
      <c r="D58" s="372">
        <v>2</v>
      </c>
      <c r="E58" s="371" t="s">
        <v>311</v>
      </c>
      <c r="F58" s="371" t="s">
        <v>321</v>
      </c>
      <c r="G58" s="371" t="s">
        <v>216</v>
      </c>
      <c r="H58" s="371" t="s">
        <v>770</v>
      </c>
      <c r="I58" s="371" t="s">
        <v>369</v>
      </c>
      <c r="J58" s="371" t="s">
        <v>370</v>
      </c>
      <c r="K58" s="373" t="str">
        <f>IF(O58="Zauberspruch",L58,O58)</f>
        <v>Zerstören</v>
      </c>
      <c r="L58" s="373" t="s">
        <v>141</v>
      </c>
      <c r="M58" s="374" t="s">
        <v>329</v>
      </c>
      <c r="N58" s="374" t="s">
        <v>301</v>
      </c>
      <c r="O58" s="373" t="s">
        <v>166</v>
      </c>
      <c r="P58" s="368" t="s">
        <v>75</v>
      </c>
      <c r="Q58" s="367" t="s">
        <v>748</v>
      </c>
      <c r="R58" s="367">
        <v>70</v>
      </c>
    </row>
    <row r="59" spans="1:18" ht="20.100000000000001" customHeight="1" x14ac:dyDescent="0.2">
      <c r="A59" s="377" t="s">
        <v>371</v>
      </c>
      <c r="B59" s="371" t="s">
        <v>218</v>
      </c>
      <c r="C59" s="371">
        <v>1</v>
      </c>
      <c r="D59" s="372">
        <v>3</v>
      </c>
      <c r="E59" s="371" t="s">
        <v>306</v>
      </c>
      <c r="F59" s="371" t="s">
        <v>332</v>
      </c>
      <c r="G59" s="371" t="s">
        <v>217</v>
      </c>
      <c r="H59" s="371" t="s">
        <v>75</v>
      </c>
      <c r="I59" s="371">
        <v>0</v>
      </c>
      <c r="J59" s="371" t="s">
        <v>313</v>
      </c>
      <c r="K59" s="373" t="str">
        <f>IF(O59="Zauberspruch",L59,O59)</f>
        <v>Erschaffen</v>
      </c>
      <c r="L59" s="373" t="s">
        <v>145</v>
      </c>
      <c r="M59" s="374" t="s">
        <v>301</v>
      </c>
      <c r="N59" s="374" t="s">
        <v>309</v>
      </c>
      <c r="O59" s="373" t="s">
        <v>166</v>
      </c>
      <c r="P59" s="368" t="s">
        <v>372</v>
      </c>
      <c r="Q59" s="367" t="s">
        <v>748</v>
      </c>
      <c r="R59" s="367">
        <v>71</v>
      </c>
    </row>
    <row r="60" spans="1:18" ht="20.100000000000001" customHeight="1" x14ac:dyDescent="0.2">
      <c r="A60" s="377" t="s">
        <v>1401</v>
      </c>
      <c r="B60" s="371" t="s">
        <v>219</v>
      </c>
      <c r="C60" s="371">
        <v>3</v>
      </c>
      <c r="D60" s="372">
        <v>5</v>
      </c>
      <c r="E60" s="371" t="s">
        <v>306</v>
      </c>
      <c r="F60" s="371" t="s">
        <v>25</v>
      </c>
      <c r="G60" s="371" t="s">
        <v>216</v>
      </c>
      <c r="H60" s="371" t="s">
        <v>770</v>
      </c>
      <c r="I60" s="371">
        <v>0</v>
      </c>
      <c r="J60" s="371" t="s">
        <v>300</v>
      </c>
      <c r="K60" s="373" t="str">
        <f>IF(O60="Zauberspruch",L60,O60)</f>
        <v>Thaumatherapie</v>
      </c>
      <c r="L60" s="373" t="s">
        <v>140</v>
      </c>
      <c r="M60" s="374" t="s">
        <v>322</v>
      </c>
      <c r="N60" s="374" t="s">
        <v>308</v>
      </c>
      <c r="O60" s="404" t="s">
        <v>1340</v>
      </c>
      <c r="P60" s="368" t="s">
        <v>75</v>
      </c>
      <c r="Q60" s="367" t="s">
        <v>1321</v>
      </c>
      <c r="R60" s="367">
        <v>82</v>
      </c>
    </row>
    <row r="61" spans="1:18" ht="20.100000000000001" customHeight="1" x14ac:dyDescent="0.2">
      <c r="A61" s="377" t="s">
        <v>1475</v>
      </c>
      <c r="B61" s="371" t="s">
        <v>220</v>
      </c>
      <c r="C61" s="371">
        <v>3</v>
      </c>
      <c r="D61" s="372">
        <v>1</v>
      </c>
      <c r="E61" s="371" t="s">
        <v>304</v>
      </c>
      <c r="F61" s="371" t="s">
        <v>305</v>
      </c>
      <c r="G61" s="371" t="s">
        <v>217</v>
      </c>
      <c r="H61" s="371" t="s">
        <v>374</v>
      </c>
      <c r="I61" s="371">
        <v>0</v>
      </c>
      <c r="J61" s="371" t="s">
        <v>313</v>
      </c>
      <c r="K61" s="373" t="str">
        <f>IF(O61="Zauberspruch",L61,O61)</f>
        <v>Runenstab</v>
      </c>
      <c r="L61" s="373" t="s">
        <v>145</v>
      </c>
      <c r="M61" s="374" t="s">
        <v>322</v>
      </c>
      <c r="N61" s="374" t="s">
        <v>322</v>
      </c>
      <c r="O61" s="404" t="s">
        <v>1472</v>
      </c>
      <c r="P61" s="368" t="s">
        <v>75</v>
      </c>
      <c r="Q61" s="367" t="s">
        <v>1321</v>
      </c>
      <c r="R61" s="367">
        <v>51</v>
      </c>
    </row>
    <row r="62" spans="1:18" ht="20.100000000000001" customHeight="1" x14ac:dyDescent="0.2">
      <c r="A62" s="377" t="s">
        <v>373</v>
      </c>
      <c r="B62" s="371" t="s">
        <v>220</v>
      </c>
      <c r="C62" s="371">
        <v>5</v>
      </c>
      <c r="D62" s="372">
        <v>3</v>
      </c>
      <c r="E62" s="371" t="s">
        <v>311</v>
      </c>
      <c r="F62" s="371" t="s">
        <v>305</v>
      </c>
      <c r="G62" s="371" t="s">
        <v>217</v>
      </c>
      <c r="H62" s="371" t="s">
        <v>374</v>
      </c>
      <c r="I62" s="371" t="s">
        <v>325</v>
      </c>
      <c r="J62" s="371" t="s">
        <v>313</v>
      </c>
      <c r="K62" s="373" t="str">
        <f>IF(O62="Zauberspruch",L62,O62)</f>
        <v>Erschaffen</v>
      </c>
      <c r="L62" s="373" t="s">
        <v>145</v>
      </c>
      <c r="M62" s="374" t="s">
        <v>322</v>
      </c>
      <c r="N62" s="374" t="s">
        <v>322</v>
      </c>
      <c r="O62" s="373" t="s">
        <v>166</v>
      </c>
      <c r="P62" s="368" t="s">
        <v>375</v>
      </c>
      <c r="Q62" s="367" t="s">
        <v>748</v>
      </c>
      <c r="R62" s="367">
        <v>71</v>
      </c>
    </row>
    <row r="63" spans="1:18" ht="20.100000000000001" customHeight="1" x14ac:dyDescent="0.2">
      <c r="A63" s="377" t="s">
        <v>376</v>
      </c>
      <c r="B63" s="371" t="s">
        <v>220</v>
      </c>
      <c r="C63" s="371">
        <v>6</v>
      </c>
      <c r="D63" s="372">
        <v>4</v>
      </c>
      <c r="E63" s="371" t="s">
        <v>311</v>
      </c>
      <c r="F63" s="371" t="s">
        <v>359</v>
      </c>
      <c r="G63" s="371" t="s">
        <v>217</v>
      </c>
      <c r="H63" s="371" t="s">
        <v>374</v>
      </c>
      <c r="I63" s="371" t="s">
        <v>325</v>
      </c>
      <c r="J63" s="371" t="s">
        <v>313</v>
      </c>
      <c r="K63" s="373" t="str">
        <f>IF(O63="Zauberspruch",L63,O63)</f>
        <v>Erschaffen</v>
      </c>
      <c r="L63" s="373" t="s">
        <v>145</v>
      </c>
      <c r="M63" s="374" t="s">
        <v>322</v>
      </c>
      <c r="N63" s="374" t="s">
        <v>322</v>
      </c>
      <c r="O63" s="373" t="s">
        <v>166</v>
      </c>
      <c r="P63" s="368" t="s">
        <v>375</v>
      </c>
      <c r="Q63" s="367" t="s">
        <v>748</v>
      </c>
      <c r="R63" s="367">
        <v>71</v>
      </c>
    </row>
    <row r="64" spans="1:18" ht="20.100000000000001" customHeight="1" x14ac:dyDescent="0.2">
      <c r="A64" s="377" t="s">
        <v>377</v>
      </c>
      <c r="B64" s="371" t="s">
        <v>220</v>
      </c>
      <c r="C64" s="371">
        <v>6</v>
      </c>
      <c r="D64" s="372">
        <v>4</v>
      </c>
      <c r="E64" s="371" t="s">
        <v>311</v>
      </c>
      <c r="F64" s="371" t="s">
        <v>332</v>
      </c>
      <c r="G64" s="371" t="s">
        <v>217</v>
      </c>
      <c r="H64" s="371" t="s">
        <v>75</v>
      </c>
      <c r="I64" s="371" t="s">
        <v>318</v>
      </c>
      <c r="J64" s="371" t="s">
        <v>313</v>
      </c>
      <c r="K64" s="373" t="str">
        <f>IF(O64="Zauberspruch",L64,O64)</f>
        <v>Erschaffen</v>
      </c>
      <c r="L64" s="373" t="s">
        <v>145</v>
      </c>
      <c r="M64" s="374" t="s">
        <v>322</v>
      </c>
      <c r="N64" s="374" t="s">
        <v>322</v>
      </c>
      <c r="O64" s="373" t="s">
        <v>166</v>
      </c>
      <c r="P64" s="368" t="s">
        <v>375</v>
      </c>
      <c r="Q64" s="367" t="s">
        <v>748</v>
      </c>
      <c r="R64" s="367">
        <v>72</v>
      </c>
    </row>
    <row r="65" spans="1:18" ht="20.100000000000001" customHeight="1" x14ac:dyDescent="0.2">
      <c r="A65" s="377" t="s">
        <v>1476</v>
      </c>
      <c r="B65" s="371" t="s">
        <v>220</v>
      </c>
      <c r="C65" s="371">
        <v>6</v>
      </c>
      <c r="D65" s="372">
        <v>4</v>
      </c>
      <c r="E65" s="371" t="s">
        <v>304</v>
      </c>
      <c r="F65" s="371" t="s">
        <v>332</v>
      </c>
      <c r="G65" s="371" t="s">
        <v>217</v>
      </c>
      <c r="H65" s="371" t="s">
        <v>75</v>
      </c>
      <c r="I65" s="371" t="s">
        <v>318</v>
      </c>
      <c r="J65" s="371" t="s">
        <v>313</v>
      </c>
      <c r="K65" s="373" t="str">
        <f>IF(O65="Zauberspruch",L65,O65)</f>
        <v>Runenstab</v>
      </c>
      <c r="L65" s="373" t="s">
        <v>145</v>
      </c>
      <c r="M65" s="374" t="s">
        <v>322</v>
      </c>
      <c r="N65" s="374" t="s">
        <v>322</v>
      </c>
      <c r="O65" s="404" t="s">
        <v>1472</v>
      </c>
      <c r="P65" s="368" t="s">
        <v>75</v>
      </c>
      <c r="Q65" s="367" t="s">
        <v>1321</v>
      </c>
      <c r="R65" s="367">
        <v>51</v>
      </c>
    </row>
    <row r="66" spans="1:18" ht="20.100000000000001" customHeight="1" x14ac:dyDescent="0.2">
      <c r="A66" s="377" t="s">
        <v>1402</v>
      </c>
      <c r="B66" s="371" t="s">
        <v>220</v>
      </c>
      <c r="C66" s="371">
        <v>2</v>
      </c>
      <c r="D66" s="372">
        <v>1</v>
      </c>
      <c r="E66" s="371" t="s">
        <v>347</v>
      </c>
      <c r="F66" s="371" t="s">
        <v>25</v>
      </c>
      <c r="G66" s="371" t="s">
        <v>215</v>
      </c>
      <c r="H66" s="371" t="s">
        <v>770</v>
      </c>
      <c r="I66" s="371">
        <v>0</v>
      </c>
      <c r="J66" s="371" t="s">
        <v>300</v>
      </c>
      <c r="K66" s="373" t="str">
        <f>IF(O66="Zauberspruch",L66,O66)</f>
        <v>Thaumatherapie</v>
      </c>
      <c r="L66" s="373" t="s">
        <v>143</v>
      </c>
      <c r="M66" s="374" t="s">
        <v>322</v>
      </c>
      <c r="N66" s="374" t="s">
        <v>308</v>
      </c>
      <c r="O66" s="404" t="s">
        <v>1340</v>
      </c>
      <c r="P66" s="368" t="s">
        <v>75</v>
      </c>
      <c r="Q66" s="367" t="s">
        <v>1321</v>
      </c>
      <c r="R66" s="367">
        <v>82</v>
      </c>
    </row>
    <row r="67" spans="1:18" ht="20.100000000000001" customHeight="1" x14ac:dyDescent="0.2">
      <c r="A67" s="377" t="s">
        <v>1800</v>
      </c>
      <c r="B67" s="371" t="s">
        <v>218</v>
      </c>
      <c r="C67" s="371">
        <v>7</v>
      </c>
      <c r="D67" s="371">
        <v>4</v>
      </c>
      <c r="E67" s="371" t="s">
        <v>299</v>
      </c>
      <c r="F67" s="371" t="s">
        <v>75</v>
      </c>
      <c r="G67" s="371" t="s">
        <v>215</v>
      </c>
      <c r="H67" s="371" t="s">
        <v>791</v>
      </c>
      <c r="I67" s="371" t="s">
        <v>306</v>
      </c>
      <c r="J67" s="371" t="s">
        <v>313</v>
      </c>
      <c r="K67" s="373" t="str">
        <f>IF(O67="Zauberspruch",L67,O67)</f>
        <v>Erkennen</v>
      </c>
      <c r="L67" s="373" t="s">
        <v>143</v>
      </c>
      <c r="M67" s="373" t="s">
        <v>322</v>
      </c>
      <c r="N67" s="373" t="s">
        <v>314</v>
      </c>
      <c r="O67" s="373" t="s">
        <v>166</v>
      </c>
      <c r="P67" s="376" t="s">
        <v>75</v>
      </c>
      <c r="Q67" s="367" t="s">
        <v>1872</v>
      </c>
      <c r="R67" s="367">
        <v>7</v>
      </c>
    </row>
    <row r="68" spans="1:18" ht="20.100000000000001" customHeight="1" x14ac:dyDescent="0.2">
      <c r="A68" s="377" t="s">
        <v>378</v>
      </c>
      <c r="B68" s="371" t="s">
        <v>219</v>
      </c>
      <c r="C68" s="371">
        <v>3</v>
      </c>
      <c r="D68" s="372">
        <v>1</v>
      </c>
      <c r="E68" s="371" t="s">
        <v>306</v>
      </c>
      <c r="F68" s="371" t="s">
        <v>75</v>
      </c>
      <c r="G68" s="371" t="s">
        <v>216</v>
      </c>
      <c r="H68" s="371" t="s">
        <v>791</v>
      </c>
      <c r="I68" s="371" t="s">
        <v>306</v>
      </c>
      <c r="J68" s="371" t="s">
        <v>313</v>
      </c>
      <c r="K68" s="373" t="str">
        <f>IF(O68="Zauberspruch",L68,O68)</f>
        <v>Verändern</v>
      </c>
      <c r="L68" s="373" t="s">
        <v>138</v>
      </c>
      <c r="M68" s="374" t="s">
        <v>322</v>
      </c>
      <c r="N68" s="374" t="s">
        <v>309</v>
      </c>
      <c r="O68" s="373" t="s">
        <v>166</v>
      </c>
      <c r="P68" s="368" t="s">
        <v>75</v>
      </c>
      <c r="Q68" s="367" t="s">
        <v>748</v>
      </c>
      <c r="R68" s="367">
        <v>72</v>
      </c>
    </row>
    <row r="69" spans="1:18" ht="20.100000000000001" customHeight="1" x14ac:dyDescent="0.2">
      <c r="A69" s="377" t="s">
        <v>1656</v>
      </c>
      <c r="B69" s="371" t="s">
        <v>220</v>
      </c>
      <c r="C69" s="371">
        <v>1</v>
      </c>
      <c r="D69" s="371">
        <v>0</v>
      </c>
      <c r="E69" s="372" t="s">
        <v>347</v>
      </c>
      <c r="F69" s="371" t="s">
        <v>75</v>
      </c>
      <c r="G69" s="371" t="s">
        <v>215</v>
      </c>
      <c r="H69" s="371" t="s">
        <v>783</v>
      </c>
      <c r="I69" s="371" t="s">
        <v>299</v>
      </c>
      <c r="J69" s="371" t="s">
        <v>1695</v>
      </c>
      <c r="K69" s="373" t="str">
        <f>IF(O69="Zauberspruch",L69,O69)</f>
        <v>Zauberlied</v>
      </c>
      <c r="L69" s="373" t="s">
        <v>138</v>
      </c>
      <c r="M69" s="373" t="s">
        <v>314</v>
      </c>
      <c r="N69" s="374" t="s">
        <v>314</v>
      </c>
      <c r="O69" s="374" t="s">
        <v>1696</v>
      </c>
      <c r="P69" s="374" t="s">
        <v>1657</v>
      </c>
      <c r="Q69" s="367" t="s">
        <v>748</v>
      </c>
      <c r="R69" s="407">
        <v>163</v>
      </c>
    </row>
    <row r="70" spans="1:18" ht="20.100000000000001" customHeight="1" x14ac:dyDescent="0.2">
      <c r="A70" s="377" t="s">
        <v>1664</v>
      </c>
      <c r="B70" s="371" t="s">
        <v>220</v>
      </c>
      <c r="C70" s="371">
        <v>7</v>
      </c>
      <c r="D70" s="371">
        <v>0</v>
      </c>
      <c r="E70" s="372" t="s">
        <v>347</v>
      </c>
      <c r="F70" s="371" t="s">
        <v>321</v>
      </c>
      <c r="G70" s="371" t="s">
        <v>215</v>
      </c>
      <c r="H70" s="371" t="s">
        <v>770</v>
      </c>
      <c r="I70" s="371" t="s">
        <v>369</v>
      </c>
      <c r="J70" s="371" t="s">
        <v>1695</v>
      </c>
      <c r="K70" s="373" t="str">
        <f>IF(O70="Zauberspruch",L70,O70)</f>
        <v>Zauberlied</v>
      </c>
      <c r="L70" s="373" t="s">
        <v>137</v>
      </c>
      <c r="M70" s="373" t="s">
        <v>309</v>
      </c>
      <c r="N70" s="374" t="s">
        <v>309</v>
      </c>
      <c r="O70" s="374" t="s">
        <v>1696</v>
      </c>
      <c r="P70" s="374" t="s">
        <v>1655</v>
      </c>
      <c r="Q70" s="367" t="s">
        <v>748</v>
      </c>
      <c r="R70" s="407">
        <v>165</v>
      </c>
    </row>
    <row r="71" spans="1:18" ht="20.100000000000001" customHeight="1" x14ac:dyDescent="0.2">
      <c r="A71" s="377" t="s">
        <v>1665</v>
      </c>
      <c r="B71" s="371" t="s">
        <v>220</v>
      </c>
      <c r="C71" s="371">
        <v>8</v>
      </c>
      <c r="D71" s="371">
        <v>2</v>
      </c>
      <c r="E71" s="372" t="s">
        <v>347</v>
      </c>
      <c r="F71" s="371" t="s">
        <v>75</v>
      </c>
      <c r="G71" s="371" t="s">
        <v>215</v>
      </c>
      <c r="H71" s="371" t="s">
        <v>1662</v>
      </c>
      <c r="I71" s="371" t="s">
        <v>347</v>
      </c>
      <c r="J71" s="371" t="s">
        <v>1695</v>
      </c>
      <c r="K71" s="373" t="str">
        <f>IF(O71="Zauberspruch",L71,O71)</f>
        <v>Zauberlied</v>
      </c>
      <c r="L71" s="373" t="s">
        <v>137</v>
      </c>
      <c r="M71" s="373" t="s">
        <v>322</v>
      </c>
      <c r="N71" s="374" t="s">
        <v>309</v>
      </c>
      <c r="O71" s="374" t="s">
        <v>1696</v>
      </c>
      <c r="P71" s="374" t="s">
        <v>1666</v>
      </c>
      <c r="Q71" s="367" t="s">
        <v>748</v>
      </c>
      <c r="R71" s="407">
        <v>165</v>
      </c>
    </row>
    <row r="72" spans="1:18" ht="20.100000000000001" customHeight="1" x14ac:dyDescent="0.2">
      <c r="A72" s="377" t="s">
        <v>1667</v>
      </c>
      <c r="B72" s="371" t="s">
        <v>220</v>
      </c>
      <c r="C72" s="371">
        <v>3</v>
      </c>
      <c r="D72" s="371">
        <v>2</v>
      </c>
      <c r="E72" s="372" t="s">
        <v>347</v>
      </c>
      <c r="F72" s="371" t="s">
        <v>75</v>
      </c>
      <c r="G72" s="371" t="s">
        <v>215</v>
      </c>
      <c r="H72" s="371" t="s">
        <v>783</v>
      </c>
      <c r="I72" s="371" t="s">
        <v>312</v>
      </c>
      <c r="J72" s="371" t="s">
        <v>1695</v>
      </c>
      <c r="K72" s="373" t="str">
        <f>IF(O72="Zauberspruch",L72,O72)</f>
        <v>Zauberlied</v>
      </c>
      <c r="L72" s="373" t="s">
        <v>137</v>
      </c>
      <c r="M72" s="373" t="s">
        <v>309</v>
      </c>
      <c r="N72" s="374" t="s">
        <v>309</v>
      </c>
      <c r="O72" s="374" t="s">
        <v>1696</v>
      </c>
      <c r="P72" s="374" t="s">
        <v>1657</v>
      </c>
      <c r="Q72" s="367" t="s">
        <v>748</v>
      </c>
      <c r="R72" s="407">
        <v>165</v>
      </c>
    </row>
    <row r="73" spans="1:18" ht="20.100000000000001" customHeight="1" x14ac:dyDescent="0.2">
      <c r="A73" s="377" t="s">
        <v>1669</v>
      </c>
      <c r="B73" s="371" t="s">
        <v>220</v>
      </c>
      <c r="C73" s="371">
        <v>5</v>
      </c>
      <c r="D73" s="371">
        <v>2</v>
      </c>
      <c r="E73" s="372" t="s">
        <v>347</v>
      </c>
      <c r="F73" s="371" t="s">
        <v>75</v>
      </c>
      <c r="G73" s="371" t="s">
        <v>215</v>
      </c>
      <c r="H73" s="371" t="s">
        <v>783</v>
      </c>
      <c r="I73" s="371" t="s">
        <v>347</v>
      </c>
      <c r="J73" s="371" t="s">
        <v>1695</v>
      </c>
      <c r="K73" s="373" t="str">
        <f>IF(O73="Zauberspruch",L73,O73)</f>
        <v>Zauberlied</v>
      </c>
      <c r="L73" s="373" t="s">
        <v>137</v>
      </c>
      <c r="M73" s="373" t="s">
        <v>322</v>
      </c>
      <c r="N73" s="374" t="s">
        <v>302</v>
      </c>
      <c r="O73" s="374" t="s">
        <v>1696</v>
      </c>
      <c r="P73" s="374" t="s">
        <v>1666</v>
      </c>
      <c r="Q73" s="367" t="s">
        <v>748</v>
      </c>
      <c r="R73" s="407">
        <v>166</v>
      </c>
    </row>
    <row r="74" spans="1:18" ht="20.100000000000001" customHeight="1" x14ac:dyDescent="0.2">
      <c r="A74" s="377" t="s">
        <v>1670</v>
      </c>
      <c r="B74" s="371" t="s">
        <v>220</v>
      </c>
      <c r="C74" s="371">
        <v>1</v>
      </c>
      <c r="D74" s="371">
        <v>0</v>
      </c>
      <c r="E74" s="372" t="s">
        <v>306</v>
      </c>
      <c r="F74" s="371" t="s">
        <v>75</v>
      </c>
      <c r="G74" s="371" t="s">
        <v>215</v>
      </c>
      <c r="H74" s="371" t="s">
        <v>778</v>
      </c>
      <c r="I74" s="371" t="s">
        <v>299</v>
      </c>
      <c r="J74" s="371" t="s">
        <v>1695</v>
      </c>
      <c r="K74" s="373" t="str">
        <f>IF(O74="Zauberspruch",L74,O74)</f>
        <v>Zauberlied</v>
      </c>
      <c r="L74" s="373" t="s">
        <v>138</v>
      </c>
      <c r="M74" s="373" t="s">
        <v>314</v>
      </c>
      <c r="N74" s="374" t="s">
        <v>314</v>
      </c>
      <c r="O74" s="374" t="s">
        <v>1696</v>
      </c>
      <c r="P74" s="374" t="s">
        <v>1671</v>
      </c>
      <c r="Q74" s="367" t="s">
        <v>748</v>
      </c>
      <c r="R74" s="407">
        <v>166</v>
      </c>
    </row>
    <row r="75" spans="1:18" ht="20.100000000000001" customHeight="1" x14ac:dyDescent="0.2">
      <c r="A75" s="377" t="s">
        <v>1672</v>
      </c>
      <c r="B75" s="371" t="s">
        <v>220</v>
      </c>
      <c r="C75" s="371">
        <v>6</v>
      </c>
      <c r="D75" s="371">
        <v>2</v>
      </c>
      <c r="E75" s="372" t="s">
        <v>347</v>
      </c>
      <c r="F75" s="371" t="s">
        <v>75</v>
      </c>
      <c r="G75" s="371" t="s">
        <v>216</v>
      </c>
      <c r="H75" s="371" t="s">
        <v>778</v>
      </c>
      <c r="I75" s="371">
        <v>0</v>
      </c>
      <c r="J75" s="371" t="s">
        <v>1695</v>
      </c>
      <c r="K75" s="373" t="str">
        <f>IF(O75="Zauberspruch",L75,O75)</f>
        <v>Zauberlied</v>
      </c>
      <c r="L75" s="373" t="s">
        <v>138</v>
      </c>
      <c r="M75" s="373" t="s">
        <v>322</v>
      </c>
      <c r="N75" s="374" t="s">
        <v>308</v>
      </c>
      <c r="O75" s="374" t="s">
        <v>1696</v>
      </c>
      <c r="P75" s="374" t="s">
        <v>1663</v>
      </c>
      <c r="Q75" s="367" t="s">
        <v>748</v>
      </c>
      <c r="R75" s="407">
        <v>166</v>
      </c>
    </row>
    <row r="76" spans="1:18" ht="20.100000000000001" customHeight="1" x14ac:dyDescent="0.2">
      <c r="A76" s="377" t="s">
        <v>1673</v>
      </c>
      <c r="B76" s="371" t="s">
        <v>220</v>
      </c>
      <c r="C76" s="371">
        <v>3</v>
      </c>
      <c r="D76" s="371">
        <v>2</v>
      </c>
      <c r="E76" s="372" t="s">
        <v>347</v>
      </c>
      <c r="F76" s="371" t="s">
        <v>400</v>
      </c>
      <c r="G76" s="371" t="s">
        <v>215</v>
      </c>
      <c r="H76" s="371" t="s">
        <v>770</v>
      </c>
      <c r="I76" s="371" t="s">
        <v>316</v>
      </c>
      <c r="J76" s="371" t="s">
        <v>1695</v>
      </c>
      <c r="K76" s="373" t="str">
        <f>IF(O76="Zauberspruch",L76,O76)</f>
        <v>Zauberlied</v>
      </c>
      <c r="L76" s="373" t="s">
        <v>137</v>
      </c>
      <c r="M76" s="373" t="s">
        <v>309</v>
      </c>
      <c r="N76" s="374" t="s">
        <v>309</v>
      </c>
      <c r="O76" s="374" t="s">
        <v>1696</v>
      </c>
      <c r="P76" s="374" t="s">
        <v>1655</v>
      </c>
      <c r="Q76" s="367" t="s">
        <v>748</v>
      </c>
      <c r="R76" s="407">
        <v>168</v>
      </c>
    </row>
    <row r="77" spans="1:18" ht="20.100000000000001" customHeight="1" x14ac:dyDescent="0.2">
      <c r="A77" s="377" t="s">
        <v>1675</v>
      </c>
      <c r="B77" s="371" t="s">
        <v>220</v>
      </c>
      <c r="C77" s="371">
        <v>7</v>
      </c>
      <c r="D77" s="371">
        <v>4</v>
      </c>
      <c r="E77" s="372" t="s">
        <v>1659</v>
      </c>
      <c r="F77" s="371" t="s">
        <v>321</v>
      </c>
      <c r="G77" s="371" t="s">
        <v>215</v>
      </c>
      <c r="H77" s="371" t="s">
        <v>770</v>
      </c>
      <c r="I77" s="371" t="s">
        <v>299</v>
      </c>
      <c r="J77" s="371" t="s">
        <v>1695</v>
      </c>
      <c r="K77" s="373" t="str">
        <f>IF(O77="Zauberspruch",L77,O77)</f>
        <v>Zauberlied</v>
      </c>
      <c r="L77" s="373" t="s">
        <v>138</v>
      </c>
      <c r="M77" s="373" t="s">
        <v>322</v>
      </c>
      <c r="N77" s="374" t="s">
        <v>314</v>
      </c>
      <c r="O77" s="374" t="s">
        <v>1696</v>
      </c>
      <c r="P77" s="374" t="s">
        <v>1671</v>
      </c>
      <c r="Q77" s="367" t="s">
        <v>748</v>
      </c>
      <c r="R77" s="407">
        <v>168</v>
      </c>
    </row>
    <row r="78" spans="1:18" ht="20.100000000000001" customHeight="1" x14ac:dyDescent="0.2">
      <c r="A78" s="377" t="s">
        <v>1679</v>
      </c>
      <c r="B78" s="371" t="s">
        <v>220</v>
      </c>
      <c r="C78" s="371">
        <v>10</v>
      </c>
      <c r="D78" s="371">
        <v>2</v>
      </c>
      <c r="E78" s="372" t="s">
        <v>347</v>
      </c>
      <c r="F78" s="371" t="s">
        <v>75</v>
      </c>
      <c r="G78" s="371" t="s">
        <v>215</v>
      </c>
      <c r="H78" s="371" t="s">
        <v>778</v>
      </c>
      <c r="I78" s="371" t="s">
        <v>306</v>
      </c>
      <c r="J78" s="371" t="s">
        <v>1695</v>
      </c>
      <c r="K78" s="373" t="str">
        <f>IF(O78="Zauberspruch",L78,O78)</f>
        <v>Zauberlied</v>
      </c>
      <c r="L78" s="373" t="s">
        <v>137</v>
      </c>
      <c r="M78" s="373" t="s">
        <v>322</v>
      </c>
      <c r="N78" s="374" t="s">
        <v>309</v>
      </c>
      <c r="O78" s="374" t="s">
        <v>1696</v>
      </c>
      <c r="P78" s="374" t="s">
        <v>1655</v>
      </c>
      <c r="Q78" s="367" t="s">
        <v>748</v>
      </c>
      <c r="R78" s="407">
        <v>169</v>
      </c>
    </row>
    <row r="79" spans="1:18" ht="20.100000000000001" customHeight="1" x14ac:dyDescent="0.2">
      <c r="A79" s="377" t="s">
        <v>1654</v>
      </c>
      <c r="B79" s="371" t="s">
        <v>220</v>
      </c>
      <c r="C79" s="371">
        <v>7</v>
      </c>
      <c r="D79" s="371">
        <v>2</v>
      </c>
      <c r="E79" s="372" t="s">
        <v>347</v>
      </c>
      <c r="F79" s="371" t="s">
        <v>75</v>
      </c>
      <c r="G79" s="371" t="s">
        <v>215</v>
      </c>
      <c r="H79" s="371" t="s">
        <v>778</v>
      </c>
      <c r="I79" s="371">
        <v>0</v>
      </c>
      <c r="J79" s="371" t="s">
        <v>1695</v>
      </c>
      <c r="K79" s="373" t="str">
        <f>IF(O79="Zauberspruch",L79,O79)</f>
        <v>Zauberlied</v>
      </c>
      <c r="L79" s="373" t="s">
        <v>138</v>
      </c>
      <c r="M79" s="373" t="s">
        <v>322</v>
      </c>
      <c r="N79" s="374" t="s">
        <v>314</v>
      </c>
      <c r="O79" s="374" t="s">
        <v>1696</v>
      </c>
      <c r="P79" s="374" t="s">
        <v>1655</v>
      </c>
      <c r="Q79" s="367" t="s">
        <v>748</v>
      </c>
      <c r="R79" s="407">
        <v>163</v>
      </c>
    </row>
    <row r="80" spans="1:18" ht="20.100000000000001" customHeight="1" x14ac:dyDescent="0.2">
      <c r="A80" s="377" t="s">
        <v>1658</v>
      </c>
      <c r="B80" s="371" t="s">
        <v>220</v>
      </c>
      <c r="C80" s="371">
        <v>3</v>
      </c>
      <c r="D80" s="371">
        <v>2</v>
      </c>
      <c r="E80" s="372" t="s">
        <v>304</v>
      </c>
      <c r="F80" s="371" t="s">
        <v>75</v>
      </c>
      <c r="G80" s="371" t="s">
        <v>215</v>
      </c>
      <c r="H80" s="371" t="s">
        <v>783</v>
      </c>
      <c r="I80" s="371" t="s">
        <v>1659</v>
      </c>
      <c r="J80" s="371" t="s">
        <v>1695</v>
      </c>
      <c r="K80" s="373" t="str">
        <f>IF(O80="Zauberspruch",L80,O80)</f>
        <v>Zauberlied</v>
      </c>
      <c r="L80" s="373" t="s">
        <v>137</v>
      </c>
      <c r="M80" s="373" t="s">
        <v>314</v>
      </c>
      <c r="N80" s="374" t="s">
        <v>314</v>
      </c>
      <c r="O80" s="374" t="s">
        <v>1696</v>
      </c>
      <c r="P80" s="374" t="s">
        <v>1657</v>
      </c>
      <c r="Q80" s="367" t="s">
        <v>748</v>
      </c>
      <c r="R80" s="407">
        <v>164</v>
      </c>
    </row>
    <row r="81" spans="1:18" ht="20.100000000000001" customHeight="1" x14ac:dyDescent="0.2">
      <c r="A81" s="377" t="s">
        <v>1660</v>
      </c>
      <c r="B81" s="371" t="s">
        <v>220</v>
      </c>
      <c r="C81" s="371">
        <v>10</v>
      </c>
      <c r="D81" s="371">
        <v>2</v>
      </c>
      <c r="E81" s="372" t="s">
        <v>347</v>
      </c>
      <c r="F81" s="371" t="s">
        <v>75</v>
      </c>
      <c r="G81" s="371" t="s">
        <v>215</v>
      </c>
      <c r="H81" s="371" t="s">
        <v>778</v>
      </c>
      <c r="I81" s="371" t="s">
        <v>306</v>
      </c>
      <c r="J81" s="371" t="s">
        <v>1695</v>
      </c>
      <c r="K81" s="373" t="str">
        <f>IF(O81="Zauberspruch",L81,O81)</f>
        <v>Zauberlied</v>
      </c>
      <c r="L81" s="373" t="s">
        <v>137</v>
      </c>
      <c r="M81" s="373" t="s">
        <v>319</v>
      </c>
      <c r="N81" s="374" t="s">
        <v>309</v>
      </c>
      <c r="O81" s="374" t="s">
        <v>1696</v>
      </c>
      <c r="P81" s="374" t="s">
        <v>1655</v>
      </c>
      <c r="Q81" s="367" t="s">
        <v>748</v>
      </c>
      <c r="R81" s="407">
        <v>164</v>
      </c>
    </row>
    <row r="82" spans="1:18" ht="20.100000000000001" customHeight="1" x14ac:dyDescent="0.2">
      <c r="A82" s="377" t="s">
        <v>1661</v>
      </c>
      <c r="B82" s="371" t="s">
        <v>220</v>
      </c>
      <c r="C82" s="371">
        <v>9</v>
      </c>
      <c r="D82" s="371">
        <v>4</v>
      </c>
      <c r="E82" s="372" t="s">
        <v>347</v>
      </c>
      <c r="F82" s="371" t="s">
        <v>75</v>
      </c>
      <c r="G82" s="371" t="s">
        <v>215</v>
      </c>
      <c r="H82" s="371" t="s">
        <v>1662</v>
      </c>
      <c r="I82" s="371" t="s">
        <v>347</v>
      </c>
      <c r="J82" s="371" t="s">
        <v>1695</v>
      </c>
      <c r="K82" s="373" t="str">
        <f>IF(O82="Zauberspruch",L82,O82)</f>
        <v>Zauberlied</v>
      </c>
      <c r="L82" s="373" t="s">
        <v>137</v>
      </c>
      <c r="M82" s="373" t="s">
        <v>329</v>
      </c>
      <c r="N82" s="374" t="s">
        <v>309</v>
      </c>
      <c r="O82" s="374" t="s">
        <v>1696</v>
      </c>
      <c r="P82" s="374" t="s">
        <v>1663</v>
      </c>
      <c r="Q82" s="367" t="s">
        <v>748</v>
      </c>
      <c r="R82" s="407">
        <v>165</v>
      </c>
    </row>
    <row r="83" spans="1:18" ht="20.100000000000001" customHeight="1" x14ac:dyDescent="0.2">
      <c r="A83" s="377" t="s">
        <v>1668</v>
      </c>
      <c r="B83" s="371" t="s">
        <v>220</v>
      </c>
      <c r="C83" s="371">
        <v>3</v>
      </c>
      <c r="D83" s="371">
        <v>2</v>
      </c>
      <c r="E83" s="372" t="s">
        <v>1659</v>
      </c>
      <c r="F83" s="371" t="s">
        <v>75</v>
      </c>
      <c r="G83" s="371" t="s">
        <v>215</v>
      </c>
      <c r="H83" s="371" t="s">
        <v>783</v>
      </c>
      <c r="I83" s="371" t="s">
        <v>369</v>
      </c>
      <c r="J83" s="371" t="s">
        <v>1695</v>
      </c>
      <c r="K83" s="373" t="str">
        <f>IF(O83="Zauberspruch",L83,O83)</f>
        <v>Zauberlied</v>
      </c>
      <c r="L83" s="373" t="s">
        <v>138</v>
      </c>
      <c r="M83" s="373" t="s">
        <v>314</v>
      </c>
      <c r="N83" s="374" t="s">
        <v>314</v>
      </c>
      <c r="O83" s="374" t="s">
        <v>1696</v>
      </c>
      <c r="P83" s="374" t="s">
        <v>1655</v>
      </c>
      <c r="Q83" s="367" t="s">
        <v>748</v>
      </c>
      <c r="R83" s="407">
        <v>166</v>
      </c>
    </row>
    <row r="84" spans="1:18" ht="20.100000000000001" customHeight="1" x14ac:dyDescent="0.2">
      <c r="A84" s="377" t="s">
        <v>1674</v>
      </c>
      <c r="B84" s="371" t="s">
        <v>220</v>
      </c>
      <c r="C84" s="371">
        <v>7</v>
      </c>
      <c r="D84" s="371">
        <v>2</v>
      </c>
      <c r="E84" s="372" t="s">
        <v>347</v>
      </c>
      <c r="F84" s="371" t="s">
        <v>75</v>
      </c>
      <c r="G84" s="371" t="s">
        <v>215</v>
      </c>
      <c r="H84" s="371" t="s">
        <v>778</v>
      </c>
      <c r="I84" s="371" t="s">
        <v>369</v>
      </c>
      <c r="J84" s="371" t="s">
        <v>1695</v>
      </c>
      <c r="K84" s="373" t="str">
        <f>IF(O84="Zauberspruch",L84,O84)</f>
        <v>Zauberlied</v>
      </c>
      <c r="L84" s="373" t="s">
        <v>138</v>
      </c>
      <c r="M84" s="373" t="s">
        <v>322</v>
      </c>
      <c r="N84" s="374" t="s">
        <v>314</v>
      </c>
      <c r="O84" s="374" t="s">
        <v>1696</v>
      </c>
      <c r="P84" s="374" t="s">
        <v>1655</v>
      </c>
      <c r="Q84" s="367" t="s">
        <v>748</v>
      </c>
      <c r="R84" s="407">
        <v>168</v>
      </c>
    </row>
    <row r="85" spans="1:18" ht="20.100000000000001" customHeight="1" x14ac:dyDescent="0.2">
      <c r="A85" s="377" t="s">
        <v>1676</v>
      </c>
      <c r="B85" s="371" t="s">
        <v>220</v>
      </c>
      <c r="C85" s="371">
        <v>3</v>
      </c>
      <c r="D85" s="371">
        <v>2</v>
      </c>
      <c r="E85" s="372" t="s">
        <v>347</v>
      </c>
      <c r="F85" s="371" t="s">
        <v>75</v>
      </c>
      <c r="G85" s="371" t="s">
        <v>215</v>
      </c>
      <c r="H85" s="371" t="s">
        <v>778</v>
      </c>
      <c r="I85" s="371" t="s">
        <v>299</v>
      </c>
      <c r="J85" s="371" t="s">
        <v>1695</v>
      </c>
      <c r="K85" s="373" t="str">
        <f>IF(O85="Zauberspruch",L85,O85)</f>
        <v>Zauberlied</v>
      </c>
      <c r="L85" s="373" t="s">
        <v>138</v>
      </c>
      <c r="M85" s="373" t="s">
        <v>314</v>
      </c>
      <c r="N85" s="374" t="s">
        <v>308</v>
      </c>
      <c r="O85" s="374" t="s">
        <v>1696</v>
      </c>
      <c r="P85" s="374" t="s">
        <v>1671</v>
      </c>
      <c r="Q85" s="367" t="s">
        <v>748</v>
      </c>
      <c r="R85" s="407">
        <v>168</v>
      </c>
    </row>
    <row r="86" spans="1:18" ht="20.100000000000001" customHeight="1" x14ac:dyDescent="0.2">
      <c r="A86" s="377" t="s">
        <v>1677</v>
      </c>
      <c r="B86" s="371" t="s">
        <v>220</v>
      </c>
      <c r="C86" s="371">
        <v>9</v>
      </c>
      <c r="D86" s="371">
        <v>4</v>
      </c>
      <c r="E86" s="372" t="s">
        <v>1659</v>
      </c>
      <c r="F86" s="371" t="s">
        <v>75</v>
      </c>
      <c r="G86" s="371" t="s">
        <v>215</v>
      </c>
      <c r="H86" s="371" t="s">
        <v>783</v>
      </c>
      <c r="I86" s="371" t="s">
        <v>369</v>
      </c>
      <c r="J86" s="371" t="s">
        <v>1695</v>
      </c>
      <c r="K86" s="373" t="str">
        <f>IF(O86="Zauberspruch",L86,O86)</f>
        <v>Zauberlied</v>
      </c>
      <c r="L86" s="373" t="s">
        <v>141</v>
      </c>
      <c r="M86" s="373" t="s">
        <v>322</v>
      </c>
      <c r="N86" s="374" t="s">
        <v>314</v>
      </c>
      <c r="O86" s="374" t="s">
        <v>1696</v>
      </c>
      <c r="P86" s="374" t="s">
        <v>1663</v>
      </c>
      <c r="Q86" s="367" t="s">
        <v>748</v>
      </c>
      <c r="R86" s="407">
        <v>169</v>
      </c>
    </row>
    <row r="87" spans="1:18" ht="20.100000000000001" customHeight="1" x14ac:dyDescent="0.2">
      <c r="A87" s="377" t="s">
        <v>1678</v>
      </c>
      <c r="B87" s="371" t="s">
        <v>220</v>
      </c>
      <c r="C87" s="371">
        <v>11</v>
      </c>
      <c r="D87" s="371">
        <v>2</v>
      </c>
      <c r="E87" s="372" t="s">
        <v>347</v>
      </c>
      <c r="F87" s="371" t="s">
        <v>75</v>
      </c>
      <c r="G87" s="371" t="s">
        <v>215</v>
      </c>
      <c r="H87" s="371" t="s">
        <v>783</v>
      </c>
      <c r="I87" s="371" t="s">
        <v>318</v>
      </c>
      <c r="J87" s="371" t="s">
        <v>1695</v>
      </c>
      <c r="K87" s="373" t="str">
        <f>IF(O87="Zauberspruch",L87,O87)</f>
        <v>Zauberlied</v>
      </c>
      <c r="L87" s="373" t="s">
        <v>137</v>
      </c>
      <c r="M87" s="373" t="s">
        <v>309</v>
      </c>
      <c r="N87" s="374" t="s">
        <v>309</v>
      </c>
      <c r="O87" s="374" t="s">
        <v>1696</v>
      </c>
      <c r="P87" s="374" t="s">
        <v>1663</v>
      </c>
      <c r="Q87" s="367" t="s">
        <v>748</v>
      </c>
      <c r="R87" s="407">
        <v>169</v>
      </c>
    </row>
    <row r="88" spans="1:18" ht="20.100000000000001" customHeight="1" x14ac:dyDescent="0.2">
      <c r="A88" s="377" t="s">
        <v>1680</v>
      </c>
      <c r="B88" s="371" t="s">
        <v>220</v>
      </c>
      <c r="C88" s="371">
        <v>3</v>
      </c>
      <c r="D88" s="371">
        <v>2</v>
      </c>
      <c r="E88" s="372" t="s">
        <v>347</v>
      </c>
      <c r="F88" s="371" t="s">
        <v>75</v>
      </c>
      <c r="G88" s="371" t="s">
        <v>215</v>
      </c>
      <c r="H88" s="371" t="s">
        <v>783</v>
      </c>
      <c r="I88" s="371" t="s">
        <v>1681</v>
      </c>
      <c r="J88" s="371" t="s">
        <v>1695</v>
      </c>
      <c r="K88" s="373" t="str">
        <f>IF(O88="Zauberspruch",L88,O88)</f>
        <v>Zauberlied</v>
      </c>
      <c r="L88" s="373" t="s">
        <v>138</v>
      </c>
      <c r="M88" s="373" t="s">
        <v>314</v>
      </c>
      <c r="N88" s="374" t="s">
        <v>314</v>
      </c>
      <c r="O88" s="374" t="s">
        <v>1696</v>
      </c>
      <c r="P88" s="374" t="s">
        <v>1655</v>
      </c>
      <c r="Q88" s="367" t="s">
        <v>748</v>
      </c>
      <c r="R88" s="407">
        <v>169</v>
      </c>
    </row>
    <row r="89" spans="1:18" ht="20.100000000000001" customHeight="1" x14ac:dyDescent="0.2">
      <c r="A89" s="377" t="s">
        <v>379</v>
      </c>
      <c r="B89" s="371" t="s">
        <v>220</v>
      </c>
      <c r="C89" s="371">
        <v>7</v>
      </c>
      <c r="D89" s="372">
        <v>6</v>
      </c>
      <c r="E89" s="371" t="s">
        <v>311</v>
      </c>
      <c r="F89" s="371" t="s">
        <v>332</v>
      </c>
      <c r="G89" s="371" t="s">
        <v>217</v>
      </c>
      <c r="H89" s="371" t="s">
        <v>780</v>
      </c>
      <c r="I89" s="371" t="s">
        <v>380</v>
      </c>
      <c r="J89" s="371" t="s">
        <v>313</v>
      </c>
      <c r="K89" s="373" t="str">
        <f>IF(O89="Zauberspruch",L89,O89)</f>
        <v>Zerstören</v>
      </c>
      <c r="L89" s="373" t="s">
        <v>141</v>
      </c>
      <c r="M89" s="374" t="s">
        <v>322</v>
      </c>
      <c r="N89" s="374" t="s">
        <v>322</v>
      </c>
      <c r="O89" s="373" t="s">
        <v>166</v>
      </c>
      <c r="P89" s="368" t="s">
        <v>381</v>
      </c>
      <c r="Q89" s="367" t="s">
        <v>748</v>
      </c>
      <c r="R89" s="367">
        <v>73</v>
      </c>
    </row>
    <row r="90" spans="1:18" ht="20.100000000000001" customHeight="1" x14ac:dyDescent="0.2">
      <c r="A90" s="377" t="s">
        <v>1507</v>
      </c>
      <c r="B90" s="371" t="s">
        <v>219</v>
      </c>
      <c r="C90" s="371">
        <v>7</v>
      </c>
      <c r="D90" s="372">
        <v>6</v>
      </c>
      <c r="E90" s="371" t="s">
        <v>304</v>
      </c>
      <c r="F90" s="371" t="s">
        <v>332</v>
      </c>
      <c r="G90" s="371" t="s">
        <v>217</v>
      </c>
      <c r="H90" s="371" t="s">
        <v>780</v>
      </c>
      <c r="I90" s="371" t="s">
        <v>338</v>
      </c>
      <c r="J90" s="371" t="s">
        <v>313</v>
      </c>
      <c r="K90" s="373" t="str">
        <f>IF(O90="Zauberspruch",L90,O90)</f>
        <v>Zaubersiegel</v>
      </c>
      <c r="L90" s="373" t="s">
        <v>141</v>
      </c>
      <c r="M90" s="374" t="s">
        <v>322</v>
      </c>
      <c r="N90" s="374" t="s">
        <v>322</v>
      </c>
      <c r="O90" s="404" t="s">
        <v>1322</v>
      </c>
      <c r="P90" s="368" t="s">
        <v>1506</v>
      </c>
      <c r="Q90" s="367" t="s">
        <v>1321</v>
      </c>
      <c r="R90" s="367">
        <v>56</v>
      </c>
    </row>
    <row r="91" spans="1:18" ht="20.100000000000001" customHeight="1" x14ac:dyDescent="0.2">
      <c r="A91" s="377" t="s">
        <v>1682</v>
      </c>
      <c r="B91" s="371" t="s">
        <v>220</v>
      </c>
      <c r="C91" s="371">
        <v>6</v>
      </c>
      <c r="D91" s="371">
        <v>4</v>
      </c>
      <c r="E91" s="372" t="s">
        <v>1659</v>
      </c>
      <c r="F91" s="371" t="s">
        <v>75</v>
      </c>
      <c r="G91" s="371" t="s">
        <v>215</v>
      </c>
      <c r="H91" s="371" t="s">
        <v>778</v>
      </c>
      <c r="I91" s="371" t="s">
        <v>347</v>
      </c>
      <c r="J91" s="371" t="s">
        <v>1695</v>
      </c>
      <c r="K91" s="373" t="str">
        <f>IF(O91="Zauberspruch",L91,O91)</f>
        <v>Zauberlied</v>
      </c>
      <c r="L91" s="373" t="s">
        <v>137</v>
      </c>
      <c r="M91" s="373" t="s">
        <v>322</v>
      </c>
      <c r="N91" s="374" t="s">
        <v>309</v>
      </c>
      <c r="O91" s="374" t="s">
        <v>1696</v>
      </c>
      <c r="P91" s="374" t="s">
        <v>1655</v>
      </c>
      <c r="Q91" s="367" t="s">
        <v>748</v>
      </c>
      <c r="R91" s="407">
        <v>170</v>
      </c>
    </row>
    <row r="92" spans="1:18" ht="20.100000000000001" customHeight="1" x14ac:dyDescent="0.2">
      <c r="A92" s="377" t="s">
        <v>1683</v>
      </c>
      <c r="B92" s="371" t="s">
        <v>220</v>
      </c>
      <c r="C92" s="371">
        <v>4</v>
      </c>
      <c r="D92" s="371">
        <v>2</v>
      </c>
      <c r="E92" s="372" t="s">
        <v>1659</v>
      </c>
      <c r="F92" s="371" t="s">
        <v>75</v>
      </c>
      <c r="G92" s="371" t="s">
        <v>215</v>
      </c>
      <c r="H92" s="371" t="s">
        <v>778</v>
      </c>
      <c r="I92" s="371" t="s">
        <v>347</v>
      </c>
      <c r="J92" s="371" t="s">
        <v>1695</v>
      </c>
      <c r="K92" s="373" t="str">
        <f>IF(O92="Zauberspruch",L92,O92)</f>
        <v>Zauberlied</v>
      </c>
      <c r="L92" s="373" t="s">
        <v>137</v>
      </c>
      <c r="M92" s="373" t="s">
        <v>322</v>
      </c>
      <c r="N92" s="374" t="s">
        <v>309</v>
      </c>
      <c r="O92" s="374" t="s">
        <v>1696</v>
      </c>
      <c r="P92" s="374" t="s">
        <v>1655</v>
      </c>
      <c r="Q92" s="367" t="s">
        <v>748</v>
      </c>
      <c r="R92" s="407">
        <v>170</v>
      </c>
    </row>
    <row r="93" spans="1:18" ht="20.100000000000001" customHeight="1" x14ac:dyDescent="0.2">
      <c r="A93" s="377" t="s">
        <v>1684</v>
      </c>
      <c r="B93" s="371" t="s">
        <v>220</v>
      </c>
      <c r="C93" s="371">
        <v>4</v>
      </c>
      <c r="D93" s="371">
        <v>2</v>
      </c>
      <c r="E93" s="372" t="s">
        <v>347</v>
      </c>
      <c r="F93" s="371" t="s">
        <v>75</v>
      </c>
      <c r="G93" s="371" t="s">
        <v>215</v>
      </c>
      <c r="H93" s="371" t="s">
        <v>778</v>
      </c>
      <c r="I93" s="371" t="s">
        <v>347</v>
      </c>
      <c r="J93" s="371" t="s">
        <v>1695</v>
      </c>
      <c r="K93" s="373" t="str">
        <f>IF(O93="Zauberspruch",L93,O93)</f>
        <v>Zauberlied</v>
      </c>
      <c r="L93" s="373" t="s">
        <v>138</v>
      </c>
      <c r="M93" s="373" t="s">
        <v>314</v>
      </c>
      <c r="N93" s="374" t="s">
        <v>314</v>
      </c>
      <c r="O93" s="374" t="s">
        <v>1696</v>
      </c>
      <c r="P93" s="374" t="s">
        <v>1655</v>
      </c>
      <c r="Q93" s="367" t="s">
        <v>748</v>
      </c>
      <c r="R93" s="407">
        <v>170</v>
      </c>
    </row>
    <row r="94" spans="1:18" ht="20.100000000000001" customHeight="1" x14ac:dyDescent="0.2">
      <c r="A94" s="377" t="s">
        <v>1852</v>
      </c>
      <c r="B94" s="371" t="s">
        <v>220</v>
      </c>
      <c r="C94" s="372">
        <v>10</v>
      </c>
      <c r="D94" s="371">
        <v>6</v>
      </c>
      <c r="E94" s="371" t="s">
        <v>1659</v>
      </c>
      <c r="F94" s="371" t="s">
        <v>75</v>
      </c>
      <c r="G94" s="371" t="s">
        <v>217</v>
      </c>
      <c r="H94" s="371" t="s">
        <v>770</v>
      </c>
      <c r="I94" s="371" t="s">
        <v>316</v>
      </c>
      <c r="J94" s="371" t="s">
        <v>1695</v>
      </c>
      <c r="K94" s="373" t="str">
        <f>IF(O94="Zauberspruch",L94,O94)</f>
        <v>Zauberlied</v>
      </c>
      <c r="L94" s="373" t="s">
        <v>140</v>
      </c>
      <c r="M94" s="374" t="s">
        <v>322</v>
      </c>
      <c r="N94" s="373" t="s">
        <v>319</v>
      </c>
      <c r="O94" s="374" t="s">
        <v>1696</v>
      </c>
      <c r="P94" s="396" t="s">
        <v>1666</v>
      </c>
      <c r="Q94" s="367" t="s">
        <v>1872</v>
      </c>
      <c r="R94" s="367">
        <v>24</v>
      </c>
    </row>
    <row r="95" spans="1:18" ht="20.100000000000001" customHeight="1" x14ac:dyDescent="0.2">
      <c r="A95" s="377" t="s">
        <v>1853</v>
      </c>
      <c r="B95" s="371" t="s">
        <v>220</v>
      </c>
      <c r="C95" s="371">
        <v>8</v>
      </c>
      <c r="D95" s="371">
        <v>4</v>
      </c>
      <c r="E95" s="371" t="s">
        <v>1659</v>
      </c>
      <c r="F95" s="371" t="s">
        <v>472</v>
      </c>
      <c r="G95" s="371" t="s">
        <v>217</v>
      </c>
      <c r="H95" s="371" t="s">
        <v>770</v>
      </c>
      <c r="I95" s="371" t="s">
        <v>484</v>
      </c>
      <c r="J95" s="371" t="s">
        <v>1695</v>
      </c>
      <c r="K95" s="373" t="str">
        <f>IF(O95="Zauberspruch",L95,O95)</f>
        <v>Zauberlied</v>
      </c>
      <c r="L95" s="373" t="s">
        <v>140</v>
      </c>
      <c r="M95" s="373" t="s">
        <v>322</v>
      </c>
      <c r="N95" s="373" t="s">
        <v>319</v>
      </c>
      <c r="O95" s="374" t="s">
        <v>1696</v>
      </c>
      <c r="P95" s="376" t="s">
        <v>1666</v>
      </c>
      <c r="Q95" s="367" t="s">
        <v>1872</v>
      </c>
      <c r="R95" s="367">
        <v>25</v>
      </c>
    </row>
    <row r="96" spans="1:18" ht="20.100000000000001" customHeight="1" x14ac:dyDescent="0.2">
      <c r="A96" s="377" t="s">
        <v>1685</v>
      </c>
      <c r="B96" s="371" t="s">
        <v>220</v>
      </c>
      <c r="C96" s="371">
        <v>4</v>
      </c>
      <c r="D96" s="371">
        <v>2</v>
      </c>
      <c r="E96" s="372" t="s">
        <v>347</v>
      </c>
      <c r="F96" s="371" t="s">
        <v>75</v>
      </c>
      <c r="G96" s="371" t="s">
        <v>215</v>
      </c>
      <c r="H96" s="371" t="s">
        <v>778</v>
      </c>
      <c r="I96" s="371" t="s">
        <v>347</v>
      </c>
      <c r="J96" s="371" t="s">
        <v>1695</v>
      </c>
      <c r="K96" s="373" t="str">
        <f>IF(O96="Zauberspruch",L96,O96)</f>
        <v>Zauberlied</v>
      </c>
      <c r="L96" s="373" t="s">
        <v>138</v>
      </c>
      <c r="M96" s="373" t="s">
        <v>322</v>
      </c>
      <c r="N96" s="374" t="s">
        <v>314</v>
      </c>
      <c r="O96" s="374" t="s">
        <v>1696</v>
      </c>
      <c r="P96" s="374" t="s">
        <v>1655</v>
      </c>
      <c r="Q96" s="367" t="s">
        <v>748</v>
      </c>
      <c r="R96" s="407">
        <v>170</v>
      </c>
    </row>
    <row r="97" spans="1:18" ht="20.100000000000001" customHeight="1" x14ac:dyDescent="0.2">
      <c r="A97" s="377" t="s">
        <v>1686</v>
      </c>
      <c r="B97" s="371" t="s">
        <v>220</v>
      </c>
      <c r="C97" s="371">
        <v>3</v>
      </c>
      <c r="D97" s="371">
        <v>2</v>
      </c>
      <c r="E97" s="372" t="s">
        <v>347</v>
      </c>
      <c r="F97" s="371" t="s">
        <v>75</v>
      </c>
      <c r="G97" s="371" t="s">
        <v>215</v>
      </c>
      <c r="H97" s="371" t="s">
        <v>778</v>
      </c>
      <c r="I97" s="371" t="s">
        <v>347</v>
      </c>
      <c r="J97" s="371" t="s">
        <v>1695</v>
      </c>
      <c r="K97" s="373" t="str">
        <f>IF(O97="Zauberspruch",L97,O97)</f>
        <v>Zauberlied</v>
      </c>
      <c r="L97" s="373" t="s">
        <v>137</v>
      </c>
      <c r="M97" s="373" t="s">
        <v>308</v>
      </c>
      <c r="N97" s="374" t="s">
        <v>314</v>
      </c>
      <c r="O97" s="374" t="s">
        <v>1696</v>
      </c>
      <c r="P97" s="374" t="s">
        <v>1671</v>
      </c>
      <c r="Q97" s="367" t="s">
        <v>748</v>
      </c>
      <c r="R97" s="407">
        <v>170</v>
      </c>
    </row>
    <row r="98" spans="1:18" ht="20.100000000000001" customHeight="1" x14ac:dyDescent="0.2">
      <c r="A98" s="377" t="s">
        <v>1687</v>
      </c>
      <c r="B98" s="371" t="s">
        <v>220</v>
      </c>
      <c r="C98" s="371">
        <v>2</v>
      </c>
      <c r="D98" s="371">
        <v>2</v>
      </c>
      <c r="E98" s="372" t="s">
        <v>347</v>
      </c>
      <c r="F98" s="371" t="s">
        <v>359</v>
      </c>
      <c r="G98" s="371" t="s">
        <v>216</v>
      </c>
      <c r="H98" s="371" t="s">
        <v>770</v>
      </c>
      <c r="I98" s="371" t="s">
        <v>347</v>
      </c>
      <c r="J98" s="371" t="s">
        <v>1695</v>
      </c>
      <c r="K98" s="373" t="str">
        <f>IF(O98="Zauberspruch",L98,O98)</f>
        <v>Zauberlied</v>
      </c>
      <c r="L98" s="373" t="s">
        <v>138</v>
      </c>
      <c r="M98" s="373" t="s">
        <v>322</v>
      </c>
      <c r="N98" s="374" t="s">
        <v>314</v>
      </c>
      <c r="O98" s="374" t="s">
        <v>1696</v>
      </c>
      <c r="P98" s="374" t="s">
        <v>1666</v>
      </c>
      <c r="Q98" s="367" t="s">
        <v>748</v>
      </c>
      <c r="R98" s="407">
        <v>171</v>
      </c>
    </row>
    <row r="99" spans="1:18" ht="20.100000000000001" customHeight="1" x14ac:dyDescent="0.2">
      <c r="A99" s="377" t="s">
        <v>1773</v>
      </c>
      <c r="B99" s="371" t="s">
        <v>220</v>
      </c>
      <c r="C99" s="371">
        <v>1</v>
      </c>
      <c r="D99" s="387">
        <v>1</v>
      </c>
      <c r="E99" s="388" t="s">
        <v>299</v>
      </c>
      <c r="F99" s="372" t="s">
        <v>75</v>
      </c>
      <c r="G99" s="371" t="s">
        <v>217</v>
      </c>
      <c r="H99" s="371" t="s">
        <v>1774</v>
      </c>
      <c r="I99" s="371" t="s">
        <v>1616</v>
      </c>
      <c r="J99" s="388" t="s">
        <v>300</v>
      </c>
      <c r="K99" s="373" t="str">
        <f>IF(O99="Zauberspruch",L99,O99)</f>
        <v>Zauberrune</v>
      </c>
      <c r="L99" s="376" t="s">
        <v>138</v>
      </c>
      <c r="M99" s="376" t="s">
        <v>301</v>
      </c>
      <c r="N99" s="376" t="s">
        <v>309</v>
      </c>
      <c r="O99" s="404" t="s">
        <v>1601</v>
      </c>
      <c r="P99" s="376" t="s">
        <v>1775</v>
      </c>
      <c r="Q99" s="367" t="s">
        <v>1797</v>
      </c>
      <c r="R99" s="367">
        <v>6</v>
      </c>
    </row>
    <row r="100" spans="1:18" ht="20.100000000000001" customHeight="1" x14ac:dyDescent="0.2">
      <c r="A100" s="377" t="s">
        <v>1776</v>
      </c>
      <c r="B100" s="371" t="s">
        <v>220</v>
      </c>
      <c r="C100" s="371">
        <v>11</v>
      </c>
      <c r="D100" s="371">
        <v>9</v>
      </c>
      <c r="E100" s="388" t="s">
        <v>299</v>
      </c>
      <c r="F100" s="372" t="s">
        <v>75</v>
      </c>
      <c r="G100" s="371" t="s">
        <v>215</v>
      </c>
      <c r="H100" s="371" t="s">
        <v>1790</v>
      </c>
      <c r="I100" s="371">
        <v>0</v>
      </c>
      <c r="J100" s="388" t="s">
        <v>300</v>
      </c>
      <c r="K100" s="373" t="str">
        <f>IF(O100="Zauberspruch",L100,O100)</f>
        <v>Zauberrune</v>
      </c>
      <c r="L100" s="373" t="s">
        <v>137</v>
      </c>
      <c r="M100" s="373" t="s">
        <v>319</v>
      </c>
      <c r="N100" s="373" t="s">
        <v>309</v>
      </c>
      <c r="O100" s="404" t="s">
        <v>1601</v>
      </c>
      <c r="P100" s="376" t="s">
        <v>1795</v>
      </c>
      <c r="Q100" s="367" t="s">
        <v>1797</v>
      </c>
      <c r="R100" s="367">
        <v>7</v>
      </c>
    </row>
    <row r="101" spans="1:18" ht="20.100000000000001" customHeight="1" x14ac:dyDescent="0.2">
      <c r="A101" s="377" t="s">
        <v>1777</v>
      </c>
      <c r="B101" s="371" t="s">
        <v>220</v>
      </c>
      <c r="C101" s="371">
        <v>8</v>
      </c>
      <c r="D101" s="371" t="s">
        <v>1428</v>
      </c>
      <c r="E101" s="388" t="s">
        <v>299</v>
      </c>
      <c r="F101" s="372" t="s">
        <v>305</v>
      </c>
      <c r="G101" s="371" t="s">
        <v>215</v>
      </c>
      <c r="H101" s="371" t="s">
        <v>1097</v>
      </c>
      <c r="I101" s="371" t="s">
        <v>1791</v>
      </c>
      <c r="J101" s="388" t="s">
        <v>300</v>
      </c>
      <c r="K101" s="373" t="str">
        <f>IF(O101="Zauberspruch",L101,O101)</f>
        <v>Zauberrune</v>
      </c>
      <c r="L101" s="373" t="s">
        <v>137</v>
      </c>
      <c r="M101" s="373" t="s">
        <v>308</v>
      </c>
      <c r="N101" s="373" t="s">
        <v>308</v>
      </c>
      <c r="O101" s="404" t="s">
        <v>1601</v>
      </c>
      <c r="P101" s="376" t="s">
        <v>1778</v>
      </c>
      <c r="Q101" s="367" t="s">
        <v>1797</v>
      </c>
      <c r="R101" s="367">
        <v>7</v>
      </c>
    </row>
    <row r="102" spans="1:18" ht="20.100000000000001" customHeight="1" x14ac:dyDescent="0.2">
      <c r="A102" s="377" t="s">
        <v>1689</v>
      </c>
      <c r="B102" s="371" t="s">
        <v>220</v>
      </c>
      <c r="C102" s="371">
        <v>6</v>
      </c>
      <c r="D102" s="371">
        <v>2</v>
      </c>
      <c r="E102" s="372" t="s">
        <v>304</v>
      </c>
      <c r="F102" s="371" t="s">
        <v>75</v>
      </c>
      <c r="G102" s="371" t="s">
        <v>217</v>
      </c>
      <c r="H102" s="371" t="s">
        <v>778</v>
      </c>
      <c r="I102" s="371" t="s">
        <v>347</v>
      </c>
      <c r="J102" s="371" t="s">
        <v>1695</v>
      </c>
      <c r="K102" s="373" t="str">
        <f>IF(O102="Zauberspruch",L102,O102)</f>
        <v>Zauberlied</v>
      </c>
      <c r="L102" s="373" t="s">
        <v>141</v>
      </c>
      <c r="M102" s="373" t="s">
        <v>319</v>
      </c>
      <c r="N102" s="374" t="s">
        <v>322</v>
      </c>
      <c r="O102" s="374" t="s">
        <v>1696</v>
      </c>
      <c r="P102" s="374" t="s">
        <v>1671</v>
      </c>
      <c r="Q102" s="367" t="s">
        <v>748</v>
      </c>
      <c r="R102" s="407">
        <v>171</v>
      </c>
    </row>
    <row r="103" spans="1:18" ht="20.100000000000001" customHeight="1" x14ac:dyDescent="0.2">
      <c r="A103" s="377" t="s">
        <v>1690</v>
      </c>
      <c r="B103" s="371" t="s">
        <v>220</v>
      </c>
      <c r="C103" s="371">
        <v>6</v>
      </c>
      <c r="D103" s="371">
        <v>2</v>
      </c>
      <c r="E103" s="372" t="s">
        <v>347</v>
      </c>
      <c r="F103" s="371" t="s">
        <v>75</v>
      </c>
      <c r="G103" s="371" t="s">
        <v>216</v>
      </c>
      <c r="H103" s="371" t="s">
        <v>778</v>
      </c>
      <c r="I103" s="371">
        <v>0</v>
      </c>
      <c r="J103" s="371" t="s">
        <v>1695</v>
      </c>
      <c r="K103" s="373" t="str">
        <f>IF(O103="Zauberspruch",L103,O103)</f>
        <v>Zauberlied</v>
      </c>
      <c r="L103" s="373" t="s">
        <v>138</v>
      </c>
      <c r="M103" s="373" t="s">
        <v>322</v>
      </c>
      <c r="N103" s="374" t="s">
        <v>302</v>
      </c>
      <c r="O103" s="374" t="s">
        <v>1696</v>
      </c>
      <c r="P103" s="374" t="s">
        <v>1671</v>
      </c>
      <c r="Q103" s="367" t="s">
        <v>748</v>
      </c>
      <c r="R103" s="407">
        <v>171</v>
      </c>
    </row>
    <row r="104" spans="1:18" ht="20.100000000000001" customHeight="1" x14ac:dyDescent="0.2">
      <c r="A104" s="377" t="s">
        <v>1691</v>
      </c>
      <c r="B104" s="371" t="s">
        <v>220</v>
      </c>
      <c r="C104" s="371">
        <v>5</v>
      </c>
      <c r="D104" s="371">
        <v>1</v>
      </c>
      <c r="E104" s="372" t="s">
        <v>484</v>
      </c>
      <c r="F104" s="371" t="s">
        <v>321</v>
      </c>
      <c r="G104" s="371" t="s">
        <v>215</v>
      </c>
      <c r="H104" s="371" t="s">
        <v>770</v>
      </c>
      <c r="I104" s="371">
        <v>0</v>
      </c>
      <c r="J104" s="371" t="s">
        <v>1695</v>
      </c>
      <c r="K104" s="373" t="str">
        <f>IF(O104="Zauberspruch",L104,O104)</f>
        <v>Zauberlied</v>
      </c>
      <c r="L104" s="373" t="s">
        <v>138</v>
      </c>
      <c r="M104" s="373" t="s">
        <v>319</v>
      </c>
      <c r="N104" s="374" t="s">
        <v>314</v>
      </c>
      <c r="O104" s="374" t="s">
        <v>1696</v>
      </c>
      <c r="P104" s="374" t="s">
        <v>1655</v>
      </c>
      <c r="Q104" s="367" t="s">
        <v>748</v>
      </c>
      <c r="R104" s="407">
        <v>172</v>
      </c>
    </row>
    <row r="105" spans="1:18" ht="20.100000000000001" customHeight="1" x14ac:dyDescent="0.2">
      <c r="A105" s="377" t="s">
        <v>1692</v>
      </c>
      <c r="B105" s="371" t="s">
        <v>220</v>
      </c>
      <c r="C105" s="371">
        <v>5</v>
      </c>
      <c r="D105" s="371">
        <v>2</v>
      </c>
      <c r="E105" s="372" t="s">
        <v>1659</v>
      </c>
      <c r="F105" s="371" t="s">
        <v>75</v>
      </c>
      <c r="G105" s="371" t="s">
        <v>216</v>
      </c>
      <c r="H105" s="371" t="s">
        <v>778</v>
      </c>
      <c r="I105" s="371">
        <v>0</v>
      </c>
      <c r="J105" s="371" t="s">
        <v>1695</v>
      </c>
      <c r="K105" s="373" t="str">
        <f>IF(O105="Zauberspruch",L105,O105)</f>
        <v>Zauberlied</v>
      </c>
      <c r="L105" s="373" t="s">
        <v>138</v>
      </c>
      <c r="M105" s="373" t="s">
        <v>322</v>
      </c>
      <c r="N105" s="374" t="s">
        <v>302</v>
      </c>
      <c r="O105" s="374" t="s">
        <v>1696</v>
      </c>
      <c r="P105" s="374" t="s">
        <v>1671</v>
      </c>
      <c r="Q105" s="367" t="s">
        <v>748</v>
      </c>
      <c r="R105" s="407">
        <v>172</v>
      </c>
    </row>
    <row r="106" spans="1:18" ht="20.100000000000001" customHeight="1" x14ac:dyDescent="0.2">
      <c r="A106" s="377" t="s">
        <v>1688</v>
      </c>
      <c r="B106" s="371" t="s">
        <v>220</v>
      </c>
      <c r="C106" s="371">
        <v>2</v>
      </c>
      <c r="D106" s="371">
        <v>2</v>
      </c>
      <c r="E106" s="372" t="s">
        <v>347</v>
      </c>
      <c r="F106" s="371" t="s">
        <v>75</v>
      </c>
      <c r="G106" s="371" t="s">
        <v>215</v>
      </c>
      <c r="H106" s="371" t="s">
        <v>778</v>
      </c>
      <c r="I106" s="371" t="s">
        <v>347</v>
      </c>
      <c r="J106" s="371" t="s">
        <v>1695</v>
      </c>
      <c r="K106" s="373" t="str">
        <f>IF(O106="Zauberspruch",L106,O106)</f>
        <v>Zauberlied</v>
      </c>
      <c r="L106" s="373" t="s">
        <v>138</v>
      </c>
      <c r="M106" s="373" t="s">
        <v>319</v>
      </c>
      <c r="N106" s="374" t="s">
        <v>314</v>
      </c>
      <c r="O106" s="374" t="s">
        <v>1696</v>
      </c>
      <c r="P106" s="374" t="s">
        <v>1671</v>
      </c>
      <c r="Q106" s="367" t="s">
        <v>748</v>
      </c>
      <c r="R106" s="407">
        <v>171</v>
      </c>
    </row>
    <row r="107" spans="1:18" ht="20.100000000000001" customHeight="1" x14ac:dyDescent="0.2">
      <c r="A107" s="377" t="s">
        <v>1779</v>
      </c>
      <c r="B107" s="371" t="s">
        <v>220</v>
      </c>
      <c r="C107" s="371">
        <v>8</v>
      </c>
      <c r="D107" s="371">
        <v>6</v>
      </c>
      <c r="E107" s="388" t="s">
        <v>299</v>
      </c>
      <c r="F107" s="372" t="s">
        <v>1780</v>
      </c>
      <c r="G107" s="371" t="s">
        <v>215</v>
      </c>
      <c r="H107" s="371" t="s">
        <v>770</v>
      </c>
      <c r="I107" s="371" t="s">
        <v>369</v>
      </c>
      <c r="J107" s="388" t="s">
        <v>300</v>
      </c>
      <c r="K107" s="373" t="str">
        <f>IF(O107="Zauberspruch",L107,O107)</f>
        <v>Zauberrune</v>
      </c>
      <c r="L107" s="373" t="s">
        <v>137</v>
      </c>
      <c r="M107" s="373" t="s">
        <v>308</v>
      </c>
      <c r="N107" s="373" t="s">
        <v>302</v>
      </c>
      <c r="O107" s="404" t="s">
        <v>1601</v>
      </c>
      <c r="P107" s="376" t="s">
        <v>1794</v>
      </c>
      <c r="Q107" s="367" t="s">
        <v>1797</v>
      </c>
      <c r="R107" s="367">
        <v>8</v>
      </c>
    </row>
    <row r="108" spans="1:18" ht="20.100000000000001" customHeight="1" x14ac:dyDescent="0.2">
      <c r="A108" s="377" t="s">
        <v>1693</v>
      </c>
      <c r="B108" s="371" t="s">
        <v>219</v>
      </c>
      <c r="C108" s="371">
        <v>5</v>
      </c>
      <c r="D108" s="371">
        <v>2</v>
      </c>
      <c r="E108" s="372" t="s">
        <v>347</v>
      </c>
      <c r="F108" s="371" t="s">
        <v>321</v>
      </c>
      <c r="G108" s="371" t="s">
        <v>215</v>
      </c>
      <c r="H108" s="371" t="s">
        <v>770</v>
      </c>
      <c r="I108" s="371" t="s">
        <v>318</v>
      </c>
      <c r="J108" s="371" t="s">
        <v>1695</v>
      </c>
      <c r="K108" s="373" t="str">
        <f>IF(O108="Zauberspruch",L108,O108)</f>
        <v>Zauberlied</v>
      </c>
      <c r="L108" s="373" t="s">
        <v>137</v>
      </c>
      <c r="M108" s="373" t="s">
        <v>308</v>
      </c>
      <c r="N108" s="374" t="s">
        <v>314</v>
      </c>
      <c r="O108" s="374" t="s">
        <v>1696</v>
      </c>
      <c r="P108" s="374" t="s">
        <v>1694</v>
      </c>
      <c r="Q108" s="367" t="s">
        <v>748</v>
      </c>
      <c r="R108" s="407">
        <v>172</v>
      </c>
    </row>
    <row r="109" spans="1:18" ht="20.100000000000001" customHeight="1" x14ac:dyDescent="0.2">
      <c r="A109" s="377" t="s">
        <v>382</v>
      </c>
      <c r="B109" s="371" t="s">
        <v>218</v>
      </c>
      <c r="C109" s="371">
        <v>1</v>
      </c>
      <c r="D109" s="372">
        <v>1</v>
      </c>
      <c r="E109" s="371" t="s">
        <v>306</v>
      </c>
      <c r="F109" s="371" t="s">
        <v>25</v>
      </c>
      <c r="G109" s="371" t="s">
        <v>215</v>
      </c>
      <c r="H109" s="371" t="s">
        <v>774</v>
      </c>
      <c r="I109" s="371" t="s">
        <v>383</v>
      </c>
      <c r="J109" s="371" t="s">
        <v>313</v>
      </c>
      <c r="K109" s="373" t="str">
        <f>IF(O109="Zauberspruch",L109,O109)</f>
        <v>Zerstören</v>
      </c>
      <c r="L109" s="373" t="s">
        <v>141</v>
      </c>
      <c r="M109" s="374" t="s">
        <v>322</v>
      </c>
      <c r="N109" s="374" t="s">
        <v>322</v>
      </c>
      <c r="O109" s="373" t="s">
        <v>166</v>
      </c>
      <c r="P109" s="368" t="s">
        <v>75</v>
      </c>
      <c r="Q109" s="367" t="s">
        <v>748</v>
      </c>
      <c r="R109" s="367">
        <v>73</v>
      </c>
    </row>
    <row r="110" spans="1:18" ht="20.100000000000001" customHeight="1" x14ac:dyDescent="0.2">
      <c r="A110" s="377" t="s">
        <v>1508</v>
      </c>
      <c r="B110" s="371" t="s">
        <v>219</v>
      </c>
      <c r="C110" s="371">
        <v>1</v>
      </c>
      <c r="D110" s="372">
        <v>1</v>
      </c>
      <c r="E110" s="371" t="s">
        <v>304</v>
      </c>
      <c r="F110" s="371" t="s">
        <v>25</v>
      </c>
      <c r="G110" s="371" t="s">
        <v>215</v>
      </c>
      <c r="H110" s="371" t="s">
        <v>774</v>
      </c>
      <c r="I110" s="371" t="s">
        <v>383</v>
      </c>
      <c r="J110" s="371" t="s">
        <v>313</v>
      </c>
      <c r="K110" s="373" t="str">
        <f>IF(O110="Zauberspruch",L110,O110)</f>
        <v>Zaubersiegel</v>
      </c>
      <c r="L110" s="373" t="s">
        <v>141</v>
      </c>
      <c r="M110" s="374" t="s">
        <v>322</v>
      </c>
      <c r="N110" s="374" t="s">
        <v>322</v>
      </c>
      <c r="O110" s="404" t="s">
        <v>1322</v>
      </c>
      <c r="P110" s="368" t="s">
        <v>1500</v>
      </c>
      <c r="Q110" s="367" t="s">
        <v>1321</v>
      </c>
      <c r="R110" s="367">
        <v>56</v>
      </c>
    </row>
    <row r="111" spans="1:18" ht="20.100000000000001" customHeight="1" x14ac:dyDescent="0.2">
      <c r="A111" s="377" t="s">
        <v>384</v>
      </c>
      <c r="B111" s="371" t="s">
        <v>218</v>
      </c>
      <c r="C111" s="371">
        <v>1</v>
      </c>
      <c r="D111" s="372">
        <v>1</v>
      </c>
      <c r="E111" s="371" t="s">
        <v>306</v>
      </c>
      <c r="F111" s="371" t="s">
        <v>369</v>
      </c>
      <c r="G111" s="371" t="s">
        <v>215</v>
      </c>
      <c r="H111" s="371" t="s">
        <v>774</v>
      </c>
      <c r="I111" s="371" t="s">
        <v>306</v>
      </c>
      <c r="J111" s="371" t="s">
        <v>313</v>
      </c>
      <c r="K111" s="373" t="str">
        <f>IF(O111="Zauberspruch",L111,O111)</f>
        <v>Erkennen</v>
      </c>
      <c r="L111" s="373" t="s">
        <v>143</v>
      </c>
      <c r="M111" s="374" t="s">
        <v>322</v>
      </c>
      <c r="N111" s="374" t="s">
        <v>319</v>
      </c>
      <c r="O111" s="373" t="s">
        <v>166</v>
      </c>
      <c r="P111" s="368" t="s">
        <v>75</v>
      </c>
      <c r="Q111" s="367" t="s">
        <v>748</v>
      </c>
      <c r="R111" s="367">
        <v>73</v>
      </c>
    </row>
    <row r="112" spans="1:18" ht="20.100000000000001" customHeight="1" x14ac:dyDescent="0.2">
      <c r="A112" s="377" t="s">
        <v>1509</v>
      </c>
      <c r="B112" s="371" t="s">
        <v>219</v>
      </c>
      <c r="C112" s="371">
        <v>1</v>
      </c>
      <c r="D112" s="372">
        <v>1</v>
      </c>
      <c r="E112" s="371" t="s">
        <v>304</v>
      </c>
      <c r="F112" s="371" t="s">
        <v>1510</v>
      </c>
      <c r="G112" s="371" t="s">
        <v>217</v>
      </c>
      <c r="H112" s="371" t="s">
        <v>774</v>
      </c>
      <c r="I112" s="371" t="s">
        <v>306</v>
      </c>
      <c r="J112" s="371" t="s">
        <v>313</v>
      </c>
      <c r="K112" s="373" t="str">
        <f>IF(O112="Zauberspruch",L112,O112)</f>
        <v>Zaubersiegel</v>
      </c>
      <c r="L112" s="373" t="s">
        <v>143</v>
      </c>
      <c r="M112" s="374" t="s">
        <v>322</v>
      </c>
      <c r="N112" s="374" t="s">
        <v>319</v>
      </c>
      <c r="O112" s="404" t="s">
        <v>1322</v>
      </c>
      <c r="P112" s="368" t="s">
        <v>1701</v>
      </c>
      <c r="Q112" s="367" t="s">
        <v>1321</v>
      </c>
      <c r="R112" s="367">
        <v>56</v>
      </c>
    </row>
    <row r="113" spans="1:18" ht="20.100000000000001" customHeight="1" x14ac:dyDescent="0.2">
      <c r="A113" s="377" t="s">
        <v>385</v>
      </c>
      <c r="B113" s="371" t="s">
        <v>220</v>
      </c>
      <c r="C113" s="371">
        <v>8</v>
      </c>
      <c r="D113" s="372">
        <v>4</v>
      </c>
      <c r="E113" s="371" t="s">
        <v>311</v>
      </c>
      <c r="F113" s="371" t="s">
        <v>359</v>
      </c>
      <c r="G113" s="371" t="s">
        <v>217</v>
      </c>
      <c r="H113" s="371" t="s">
        <v>374</v>
      </c>
      <c r="I113" s="371">
        <v>0</v>
      </c>
      <c r="J113" s="371" t="s">
        <v>313</v>
      </c>
      <c r="K113" s="373" t="str">
        <f>IF(O113="Zauberspruch",L113,O113)</f>
        <v>Erschaffen</v>
      </c>
      <c r="L113" s="373" t="s">
        <v>145</v>
      </c>
      <c r="M113" s="374" t="s">
        <v>314</v>
      </c>
      <c r="N113" s="374" t="s">
        <v>308</v>
      </c>
      <c r="O113" s="373" t="s">
        <v>166</v>
      </c>
      <c r="P113" s="368" t="s">
        <v>386</v>
      </c>
      <c r="Q113" s="367" t="s">
        <v>748</v>
      </c>
      <c r="R113" s="367">
        <v>73</v>
      </c>
    </row>
    <row r="114" spans="1:18" ht="20.100000000000001" customHeight="1" x14ac:dyDescent="0.2">
      <c r="A114" s="377" t="s">
        <v>1477</v>
      </c>
      <c r="B114" s="371" t="s">
        <v>220</v>
      </c>
      <c r="C114" s="371">
        <v>8</v>
      </c>
      <c r="D114" s="372">
        <v>4</v>
      </c>
      <c r="E114" s="371" t="s">
        <v>304</v>
      </c>
      <c r="F114" s="371" t="s">
        <v>359</v>
      </c>
      <c r="G114" s="371" t="s">
        <v>217</v>
      </c>
      <c r="H114" s="371" t="s">
        <v>374</v>
      </c>
      <c r="I114" s="371">
        <v>0</v>
      </c>
      <c r="J114" s="371" t="s">
        <v>313</v>
      </c>
      <c r="K114" s="373" t="str">
        <f>IF(O114="Zauberspruch",L114,O114)</f>
        <v>Runenstab</v>
      </c>
      <c r="L114" s="373" t="s">
        <v>145</v>
      </c>
      <c r="M114" s="374" t="s">
        <v>314</v>
      </c>
      <c r="N114" s="374" t="s">
        <v>308</v>
      </c>
      <c r="O114" s="404" t="s">
        <v>1472</v>
      </c>
      <c r="P114" s="368" t="s">
        <v>75</v>
      </c>
      <c r="Q114" s="367" t="s">
        <v>1321</v>
      </c>
      <c r="R114" s="367">
        <v>51</v>
      </c>
    </row>
    <row r="115" spans="1:18" ht="20.100000000000001" customHeight="1" x14ac:dyDescent="0.2">
      <c r="A115" s="377" t="s">
        <v>1605</v>
      </c>
      <c r="B115" s="371" t="s">
        <v>220</v>
      </c>
      <c r="C115" s="371">
        <v>8</v>
      </c>
      <c r="D115" s="372">
        <v>6</v>
      </c>
      <c r="E115" s="371" t="s">
        <v>299</v>
      </c>
      <c r="F115" s="371" t="s">
        <v>75</v>
      </c>
      <c r="G115" s="371" t="s">
        <v>216</v>
      </c>
      <c r="H115" s="371" t="s">
        <v>770</v>
      </c>
      <c r="I115" s="371" t="s">
        <v>493</v>
      </c>
      <c r="J115" s="371" t="s">
        <v>300</v>
      </c>
      <c r="K115" s="373" t="str">
        <f>IF(O115="Zauberspruch",L115,O115)</f>
        <v>Zauberrune</v>
      </c>
      <c r="L115" s="373" t="s">
        <v>138</v>
      </c>
      <c r="M115" s="374" t="s">
        <v>308</v>
      </c>
      <c r="N115" s="374" t="s">
        <v>302</v>
      </c>
      <c r="O115" s="404" t="s">
        <v>1601</v>
      </c>
      <c r="P115" s="368" t="s">
        <v>1711</v>
      </c>
      <c r="Q115" s="367" t="s">
        <v>1321</v>
      </c>
      <c r="R115" s="367">
        <v>69</v>
      </c>
    </row>
    <row r="116" spans="1:18" ht="20.100000000000001" customHeight="1" x14ac:dyDescent="0.2">
      <c r="A116" s="377" t="s">
        <v>387</v>
      </c>
      <c r="B116" s="371" t="s">
        <v>220</v>
      </c>
      <c r="C116" s="371">
        <v>1</v>
      </c>
      <c r="D116" s="372">
        <v>1</v>
      </c>
      <c r="E116" s="371" t="s">
        <v>311</v>
      </c>
      <c r="F116" s="371" t="s">
        <v>332</v>
      </c>
      <c r="G116" s="371" t="s">
        <v>217</v>
      </c>
      <c r="H116" s="371" t="s">
        <v>781</v>
      </c>
      <c r="I116" s="371" t="s">
        <v>306</v>
      </c>
      <c r="J116" s="371" t="s">
        <v>328</v>
      </c>
      <c r="K116" s="373" t="str">
        <f>IF(O116="Zauberspruch",L116,O116)</f>
        <v>Erkennen</v>
      </c>
      <c r="L116" s="373" t="s">
        <v>143</v>
      </c>
      <c r="M116" s="374" t="s">
        <v>322</v>
      </c>
      <c r="N116" s="374" t="s">
        <v>308</v>
      </c>
      <c r="O116" s="373" t="s">
        <v>166</v>
      </c>
      <c r="P116" s="368" t="s">
        <v>388</v>
      </c>
      <c r="Q116" s="367" t="s">
        <v>748</v>
      </c>
      <c r="R116" s="367">
        <v>74</v>
      </c>
    </row>
    <row r="117" spans="1:18" ht="20.100000000000001" customHeight="1" x14ac:dyDescent="0.2">
      <c r="A117" s="377" t="s">
        <v>1606</v>
      </c>
      <c r="B117" s="371" t="s">
        <v>220</v>
      </c>
      <c r="C117" s="371">
        <v>7</v>
      </c>
      <c r="D117" s="372">
        <v>4</v>
      </c>
      <c r="E117" s="371" t="s">
        <v>299</v>
      </c>
      <c r="F117" s="371" t="s">
        <v>75</v>
      </c>
      <c r="G117" s="371" t="s">
        <v>216</v>
      </c>
      <c r="H117" s="371" t="s">
        <v>770</v>
      </c>
      <c r="I117" s="371">
        <v>0</v>
      </c>
      <c r="J117" s="371" t="s">
        <v>300</v>
      </c>
      <c r="K117" s="373" t="str">
        <f>IF(O117="Zauberspruch",L117,O117)</f>
        <v>Zauberrune</v>
      </c>
      <c r="L117" s="373" t="s">
        <v>138</v>
      </c>
      <c r="M117" s="374" t="s">
        <v>329</v>
      </c>
      <c r="N117" s="374" t="s">
        <v>302</v>
      </c>
      <c r="O117" s="404" t="s">
        <v>1601</v>
      </c>
      <c r="P117" s="368" t="s">
        <v>1712</v>
      </c>
      <c r="Q117" s="367" t="s">
        <v>1321</v>
      </c>
      <c r="R117" s="367">
        <v>69</v>
      </c>
    </row>
    <row r="118" spans="1:18" ht="20.100000000000001" customHeight="1" x14ac:dyDescent="0.2">
      <c r="A118" s="377" t="s">
        <v>1840</v>
      </c>
      <c r="B118" s="371" t="s">
        <v>220</v>
      </c>
      <c r="C118" s="371">
        <v>9</v>
      </c>
      <c r="D118" s="371">
        <v>9</v>
      </c>
      <c r="E118" s="371" t="s">
        <v>299</v>
      </c>
      <c r="F118" s="371" t="s">
        <v>335</v>
      </c>
      <c r="G118" s="371" t="s">
        <v>217</v>
      </c>
      <c r="H118" s="371" t="s">
        <v>1788</v>
      </c>
      <c r="I118" s="371" t="s">
        <v>306</v>
      </c>
      <c r="J118" s="371" t="s">
        <v>307</v>
      </c>
      <c r="K118" s="373" t="str">
        <f>IF(O118="Zauberspruch",L118,O118)</f>
        <v>Dweomer</v>
      </c>
      <c r="L118" s="373" t="s">
        <v>148</v>
      </c>
      <c r="M118" s="373" t="s">
        <v>301</v>
      </c>
      <c r="N118" s="373" t="s">
        <v>319</v>
      </c>
      <c r="O118" s="376" t="s">
        <v>146</v>
      </c>
      <c r="P118" s="376" t="s">
        <v>1871</v>
      </c>
      <c r="Q118" s="367" t="s">
        <v>1872</v>
      </c>
      <c r="R118" s="367">
        <v>20</v>
      </c>
    </row>
    <row r="119" spans="1:18" ht="20.100000000000001" customHeight="1" x14ac:dyDescent="0.2">
      <c r="A119" s="377" t="s">
        <v>389</v>
      </c>
      <c r="B119" s="371" t="s">
        <v>220</v>
      </c>
      <c r="C119" s="371">
        <v>4</v>
      </c>
      <c r="D119" s="372" t="s">
        <v>753</v>
      </c>
      <c r="E119" s="371" t="s">
        <v>311</v>
      </c>
      <c r="F119" s="371" t="s">
        <v>321</v>
      </c>
      <c r="G119" s="371" t="s">
        <v>217</v>
      </c>
      <c r="H119" s="371" t="s">
        <v>75</v>
      </c>
      <c r="I119" s="371" t="s">
        <v>306</v>
      </c>
      <c r="J119" s="371" t="s">
        <v>328</v>
      </c>
      <c r="K119" s="373" t="str">
        <f>IF(O119="Zauberspruch",L119,O119)</f>
        <v>Erschaffen</v>
      </c>
      <c r="L119" s="373" t="s">
        <v>145</v>
      </c>
      <c r="M119" s="374" t="s">
        <v>301</v>
      </c>
      <c r="N119" s="374" t="s">
        <v>301</v>
      </c>
      <c r="O119" s="373" t="s">
        <v>166</v>
      </c>
      <c r="P119" s="368" t="s">
        <v>390</v>
      </c>
      <c r="Q119" s="367" t="s">
        <v>748</v>
      </c>
      <c r="R119" s="367">
        <v>74</v>
      </c>
    </row>
    <row r="120" spans="1:18" ht="20.100000000000001" customHeight="1" x14ac:dyDescent="0.2">
      <c r="A120" s="377" t="s">
        <v>1389</v>
      </c>
      <c r="B120" s="371" t="s">
        <v>220</v>
      </c>
      <c r="C120" s="371">
        <v>4</v>
      </c>
      <c r="D120" s="372" t="s">
        <v>749</v>
      </c>
      <c r="E120" s="371" t="s">
        <v>347</v>
      </c>
      <c r="F120" s="371" t="s">
        <v>25</v>
      </c>
      <c r="G120" s="371" t="s">
        <v>216</v>
      </c>
      <c r="H120" s="371" t="s">
        <v>798</v>
      </c>
      <c r="I120" s="371" t="s">
        <v>299</v>
      </c>
      <c r="J120" s="371" t="s">
        <v>307</v>
      </c>
      <c r="K120" s="373" t="str">
        <f>IF(O120="Zauberspruch",L120,O120)</f>
        <v>Dweomer</v>
      </c>
      <c r="L120" s="373" t="s">
        <v>138</v>
      </c>
      <c r="M120" s="374" t="s">
        <v>301</v>
      </c>
      <c r="N120" s="374" t="s">
        <v>302</v>
      </c>
      <c r="O120" s="404" t="s">
        <v>146</v>
      </c>
      <c r="P120" s="368" t="s">
        <v>75</v>
      </c>
      <c r="Q120" s="367" t="s">
        <v>1321</v>
      </c>
      <c r="R120" s="367">
        <v>92</v>
      </c>
    </row>
    <row r="121" spans="1:18" ht="20.100000000000001" customHeight="1" x14ac:dyDescent="0.2">
      <c r="A121" s="377" t="s">
        <v>1442</v>
      </c>
      <c r="B121" s="371" t="s">
        <v>218</v>
      </c>
      <c r="C121" s="371">
        <v>1</v>
      </c>
      <c r="D121" s="372">
        <v>1</v>
      </c>
      <c r="E121" s="371" t="s">
        <v>304</v>
      </c>
      <c r="F121" s="371" t="s">
        <v>472</v>
      </c>
      <c r="G121" s="371" t="s">
        <v>216</v>
      </c>
      <c r="H121" s="371" t="s">
        <v>770</v>
      </c>
      <c r="I121" s="371">
        <v>0</v>
      </c>
      <c r="J121" s="371" t="s">
        <v>313</v>
      </c>
      <c r="K121" s="373" t="str">
        <f>IF(O121="Zauberspruch",L121,O121)</f>
        <v>Zaubersalz</v>
      </c>
      <c r="L121" s="373" t="s">
        <v>138</v>
      </c>
      <c r="M121" s="374" t="s">
        <v>309</v>
      </c>
      <c r="N121" s="374" t="s">
        <v>302</v>
      </c>
      <c r="O121" s="404" t="s">
        <v>1439</v>
      </c>
      <c r="P121" s="368" t="s">
        <v>1706</v>
      </c>
      <c r="Q121" s="367" t="s">
        <v>1321</v>
      </c>
      <c r="R121" s="367">
        <v>45</v>
      </c>
    </row>
    <row r="122" spans="1:18" ht="20.100000000000001" customHeight="1" x14ac:dyDescent="0.2">
      <c r="A122" s="377" t="s">
        <v>98</v>
      </c>
      <c r="B122" s="371" t="s">
        <v>220</v>
      </c>
      <c r="C122" s="371">
        <v>7</v>
      </c>
      <c r="D122" s="372">
        <v>4</v>
      </c>
      <c r="E122" s="371" t="s">
        <v>354</v>
      </c>
      <c r="F122" s="371" t="s">
        <v>25</v>
      </c>
      <c r="G122" s="371" t="s">
        <v>216</v>
      </c>
      <c r="H122" s="371" t="s">
        <v>770</v>
      </c>
      <c r="I122" s="371" t="s">
        <v>318</v>
      </c>
      <c r="J122" s="371" t="s">
        <v>313</v>
      </c>
      <c r="K122" s="373" t="str">
        <f>IF(O122="Zauberspruch",L122,O122)</f>
        <v>Verändern</v>
      </c>
      <c r="L122" s="373" t="s">
        <v>138</v>
      </c>
      <c r="M122" s="374" t="s">
        <v>319</v>
      </c>
      <c r="N122" s="374" t="s">
        <v>302</v>
      </c>
      <c r="O122" s="373" t="s">
        <v>166</v>
      </c>
      <c r="P122" s="368" t="s">
        <v>391</v>
      </c>
      <c r="Q122" s="367" t="s">
        <v>748</v>
      </c>
      <c r="R122" s="367">
        <v>74</v>
      </c>
    </row>
    <row r="123" spans="1:18" ht="20.100000000000001" customHeight="1" x14ac:dyDescent="0.2">
      <c r="A123" s="377" t="s">
        <v>1511</v>
      </c>
      <c r="B123" s="371" t="s">
        <v>219</v>
      </c>
      <c r="C123" s="371">
        <v>7</v>
      </c>
      <c r="D123" s="372">
        <v>4</v>
      </c>
      <c r="E123" s="371" t="s">
        <v>304</v>
      </c>
      <c r="F123" s="371" t="s">
        <v>25</v>
      </c>
      <c r="G123" s="371" t="s">
        <v>216</v>
      </c>
      <c r="H123" s="371" t="s">
        <v>770</v>
      </c>
      <c r="I123" s="371" t="s">
        <v>318</v>
      </c>
      <c r="J123" s="371" t="s">
        <v>313</v>
      </c>
      <c r="K123" s="373" t="str">
        <f>IF(O123="Zauberspruch",L123,O123)</f>
        <v>Zaubersiegel</v>
      </c>
      <c r="L123" s="373" t="s">
        <v>138</v>
      </c>
      <c r="M123" s="374" t="s">
        <v>319</v>
      </c>
      <c r="N123" s="374" t="s">
        <v>302</v>
      </c>
      <c r="O123" s="404" t="s">
        <v>1322</v>
      </c>
      <c r="P123" s="368" t="s">
        <v>1512</v>
      </c>
      <c r="Q123" s="367" t="s">
        <v>1321</v>
      </c>
      <c r="R123" s="367">
        <v>56</v>
      </c>
    </row>
    <row r="124" spans="1:18" ht="20.100000000000001" customHeight="1" x14ac:dyDescent="0.2">
      <c r="A124" s="377" t="s">
        <v>392</v>
      </c>
      <c r="B124" s="371" t="s">
        <v>220</v>
      </c>
      <c r="C124" s="371">
        <v>3</v>
      </c>
      <c r="D124" s="372" t="s">
        <v>754</v>
      </c>
      <c r="E124" s="371" t="s">
        <v>311</v>
      </c>
      <c r="F124" s="371" t="s">
        <v>359</v>
      </c>
      <c r="G124" s="371" t="s">
        <v>217</v>
      </c>
      <c r="H124" s="371" t="s">
        <v>795</v>
      </c>
      <c r="I124" s="371" t="s">
        <v>347</v>
      </c>
      <c r="J124" s="371" t="s">
        <v>328</v>
      </c>
      <c r="K124" s="373" t="str">
        <f>IF(O124="Zauberspruch",L124,O124)</f>
        <v>Erschaffen</v>
      </c>
      <c r="L124" s="373" t="s">
        <v>145</v>
      </c>
      <c r="M124" s="374" t="s">
        <v>329</v>
      </c>
      <c r="N124" s="374" t="s">
        <v>329</v>
      </c>
      <c r="O124" s="373" t="s">
        <v>166</v>
      </c>
      <c r="P124" s="368" t="s">
        <v>393</v>
      </c>
      <c r="Q124" s="367" t="s">
        <v>748</v>
      </c>
      <c r="R124" s="367">
        <v>75</v>
      </c>
    </row>
    <row r="125" spans="1:18" ht="20.100000000000001" customHeight="1" x14ac:dyDescent="0.2">
      <c r="A125" s="377" t="s">
        <v>1801</v>
      </c>
      <c r="B125" s="371" t="s">
        <v>220</v>
      </c>
      <c r="C125" s="371">
        <v>10</v>
      </c>
      <c r="D125" s="371">
        <v>9</v>
      </c>
      <c r="E125" s="371" t="s">
        <v>324</v>
      </c>
      <c r="F125" s="371" t="s">
        <v>332</v>
      </c>
      <c r="G125" s="371" t="s">
        <v>217</v>
      </c>
      <c r="H125" s="371" t="s">
        <v>776</v>
      </c>
      <c r="I125" s="371" t="s">
        <v>493</v>
      </c>
      <c r="J125" s="371" t="s">
        <v>328</v>
      </c>
      <c r="K125" s="373" t="str">
        <f>IF(O125="Zauberspruch",L125,O125)</f>
        <v>Bewegen</v>
      </c>
      <c r="L125" s="373" t="s">
        <v>140</v>
      </c>
      <c r="M125" s="373" t="s">
        <v>309</v>
      </c>
      <c r="N125" s="373" t="s">
        <v>329</v>
      </c>
      <c r="O125" s="373" t="s">
        <v>166</v>
      </c>
      <c r="P125" s="376" t="s">
        <v>1802</v>
      </c>
      <c r="Q125" s="367" t="s">
        <v>1872</v>
      </c>
      <c r="R125" s="367">
        <v>8</v>
      </c>
    </row>
    <row r="126" spans="1:18" ht="20.100000000000001" customHeight="1" x14ac:dyDescent="0.2">
      <c r="A126" s="377" t="s">
        <v>394</v>
      </c>
      <c r="B126" s="371" t="s">
        <v>220</v>
      </c>
      <c r="C126" s="371">
        <v>4</v>
      </c>
      <c r="D126" s="372" t="s">
        <v>753</v>
      </c>
      <c r="E126" s="371" t="s">
        <v>311</v>
      </c>
      <c r="F126" s="371" t="s">
        <v>321</v>
      </c>
      <c r="G126" s="371" t="s">
        <v>217</v>
      </c>
      <c r="H126" s="371" t="s">
        <v>75</v>
      </c>
      <c r="I126" s="371" t="s">
        <v>306</v>
      </c>
      <c r="J126" s="371" t="s">
        <v>328</v>
      </c>
      <c r="K126" s="373" t="str">
        <f>IF(O126="Zauberspruch",L126,O126)</f>
        <v>Erschaffen</v>
      </c>
      <c r="L126" s="373" t="s">
        <v>145</v>
      </c>
      <c r="M126" s="374" t="s">
        <v>329</v>
      </c>
      <c r="N126" s="374" t="s">
        <v>329</v>
      </c>
      <c r="O126" s="373" t="s">
        <v>166</v>
      </c>
      <c r="P126" s="368" t="s">
        <v>395</v>
      </c>
      <c r="Q126" s="367" t="s">
        <v>748</v>
      </c>
      <c r="R126" s="367">
        <v>75</v>
      </c>
    </row>
    <row r="127" spans="1:18" ht="20.100000000000001" customHeight="1" x14ac:dyDescent="0.2">
      <c r="A127" s="377" t="s">
        <v>396</v>
      </c>
      <c r="B127" s="371" t="s">
        <v>220</v>
      </c>
      <c r="C127" s="371">
        <v>5</v>
      </c>
      <c r="D127" s="372">
        <v>3</v>
      </c>
      <c r="E127" s="371" t="s">
        <v>311</v>
      </c>
      <c r="F127" s="371" t="s">
        <v>363</v>
      </c>
      <c r="G127" s="371" t="s">
        <v>217</v>
      </c>
      <c r="H127" s="371" t="s">
        <v>792</v>
      </c>
      <c r="I127" s="371" t="s">
        <v>397</v>
      </c>
      <c r="J127" s="371" t="s">
        <v>328</v>
      </c>
      <c r="K127" s="373" t="str">
        <f>IF(O127="Zauberspruch",L127,O127)</f>
        <v>Formen</v>
      </c>
      <c r="L127" s="373" t="s">
        <v>148</v>
      </c>
      <c r="M127" s="374" t="s">
        <v>309</v>
      </c>
      <c r="N127" s="374" t="s">
        <v>329</v>
      </c>
      <c r="O127" s="373" t="s">
        <v>166</v>
      </c>
      <c r="P127" s="368" t="s">
        <v>398</v>
      </c>
      <c r="Q127" s="367" t="s">
        <v>748</v>
      </c>
      <c r="R127" s="367">
        <v>75</v>
      </c>
    </row>
    <row r="128" spans="1:18" ht="20.100000000000001" customHeight="1" x14ac:dyDescent="0.2">
      <c r="A128" s="377" t="s">
        <v>399</v>
      </c>
      <c r="B128" s="371" t="s">
        <v>220</v>
      </c>
      <c r="C128" s="371">
        <v>5</v>
      </c>
      <c r="D128" s="372">
        <v>6</v>
      </c>
      <c r="E128" s="371" t="s">
        <v>397</v>
      </c>
      <c r="F128" s="371" t="s">
        <v>400</v>
      </c>
      <c r="G128" s="371" t="s">
        <v>217</v>
      </c>
      <c r="H128" s="371" t="s">
        <v>793</v>
      </c>
      <c r="I128" s="371" t="s">
        <v>369</v>
      </c>
      <c r="J128" s="371" t="s">
        <v>328</v>
      </c>
      <c r="K128" s="373" t="str">
        <f>IF(O128="Zauberspruch",L128,O128)</f>
        <v>Formen</v>
      </c>
      <c r="L128" s="373" t="s">
        <v>148</v>
      </c>
      <c r="M128" s="374" t="s">
        <v>401</v>
      </c>
      <c r="N128" s="374" t="s">
        <v>402</v>
      </c>
      <c r="O128" s="373" t="s">
        <v>166</v>
      </c>
      <c r="P128" s="368" t="s">
        <v>403</v>
      </c>
      <c r="Q128" s="367" t="s">
        <v>748</v>
      </c>
      <c r="R128" s="367">
        <v>76</v>
      </c>
    </row>
    <row r="129" spans="1:18" ht="20.100000000000001" customHeight="1" x14ac:dyDescent="0.2">
      <c r="A129" s="377" t="s">
        <v>404</v>
      </c>
      <c r="B129" s="371" t="s">
        <v>220</v>
      </c>
      <c r="C129" s="371">
        <v>5</v>
      </c>
      <c r="D129" s="371">
        <v>3</v>
      </c>
      <c r="E129" s="371" t="s">
        <v>311</v>
      </c>
      <c r="F129" s="371" t="s">
        <v>305</v>
      </c>
      <c r="G129" s="371" t="s">
        <v>217</v>
      </c>
      <c r="H129" s="371" t="s">
        <v>374</v>
      </c>
      <c r="I129" s="371" t="s">
        <v>325</v>
      </c>
      <c r="J129" s="371" t="s">
        <v>307</v>
      </c>
      <c r="K129" s="373" t="str">
        <f>IF(O129="Zauberspruch",L129,O129)</f>
        <v>Dweomer</v>
      </c>
      <c r="L129" s="373" t="s">
        <v>145</v>
      </c>
      <c r="M129" s="373" t="s">
        <v>301</v>
      </c>
      <c r="N129" s="373" t="s">
        <v>301</v>
      </c>
      <c r="O129" s="376" t="s">
        <v>146</v>
      </c>
      <c r="P129" s="394" t="s">
        <v>405</v>
      </c>
      <c r="Q129" s="367" t="s">
        <v>748</v>
      </c>
      <c r="R129" s="367">
        <v>150</v>
      </c>
    </row>
    <row r="130" spans="1:18" ht="20.100000000000001" customHeight="1" x14ac:dyDescent="0.2">
      <c r="A130" s="377" t="s">
        <v>406</v>
      </c>
      <c r="B130" s="371" t="s">
        <v>220</v>
      </c>
      <c r="C130" s="371">
        <v>5</v>
      </c>
      <c r="D130" s="371">
        <v>2</v>
      </c>
      <c r="E130" s="371" t="s">
        <v>311</v>
      </c>
      <c r="F130" s="371" t="s">
        <v>25</v>
      </c>
      <c r="G130" s="371" t="s">
        <v>217</v>
      </c>
      <c r="H130" s="371" t="s">
        <v>774</v>
      </c>
      <c r="I130" s="371" t="s">
        <v>306</v>
      </c>
      <c r="J130" s="371" t="s">
        <v>307</v>
      </c>
      <c r="K130" s="373" t="str">
        <f>IF(O130="Zauberspruch",L130,O130)</f>
        <v>Dweomer</v>
      </c>
      <c r="L130" s="373" t="s">
        <v>148</v>
      </c>
      <c r="M130" s="373" t="s">
        <v>301</v>
      </c>
      <c r="N130" s="373" t="s">
        <v>319</v>
      </c>
      <c r="O130" s="376" t="s">
        <v>146</v>
      </c>
      <c r="P130" s="394" t="s">
        <v>1192</v>
      </c>
      <c r="Q130" s="367" t="s">
        <v>748</v>
      </c>
      <c r="R130" s="367">
        <v>150</v>
      </c>
    </row>
    <row r="131" spans="1:18" ht="20.100000000000001" customHeight="1" x14ac:dyDescent="0.2">
      <c r="A131" s="377" t="s">
        <v>1403</v>
      </c>
      <c r="B131" s="371" t="s">
        <v>220</v>
      </c>
      <c r="C131" s="371">
        <v>5</v>
      </c>
      <c r="D131" s="372">
        <v>3</v>
      </c>
      <c r="E131" s="371" t="s">
        <v>306</v>
      </c>
      <c r="F131" s="371" t="s">
        <v>25</v>
      </c>
      <c r="G131" s="371" t="s">
        <v>215</v>
      </c>
      <c r="H131" s="371" t="s">
        <v>770</v>
      </c>
      <c r="I131" s="371" t="s">
        <v>316</v>
      </c>
      <c r="J131" s="371" t="s">
        <v>313</v>
      </c>
      <c r="K131" s="373" t="str">
        <f>IF(O131="Zauberspruch",L131,O131)</f>
        <v>Thaumatherapie</v>
      </c>
      <c r="L131" s="373" t="s">
        <v>138</v>
      </c>
      <c r="M131" s="374" t="s">
        <v>322</v>
      </c>
      <c r="N131" s="374" t="s">
        <v>314</v>
      </c>
      <c r="O131" s="404" t="s">
        <v>1340</v>
      </c>
      <c r="P131" s="368" t="s">
        <v>75</v>
      </c>
      <c r="Q131" s="367" t="s">
        <v>1321</v>
      </c>
      <c r="R131" s="367">
        <v>82</v>
      </c>
    </row>
    <row r="132" spans="1:18" ht="20.100000000000001" customHeight="1" x14ac:dyDescent="0.2">
      <c r="A132" s="377" t="s">
        <v>1407</v>
      </c>
      <c r="B132" s="371" t="s">
        <v>220</v>
      </c>
      <c r="C132" s="371">
        <v>2</v>
      </c>
      <c r="D132" s="372">
        <v>1</v>
      </c>
      <c r="E132" s="371" t="s">
        <v>484</v>
      </c>
      <c r="F132" s="371" t="s">
        <v>25</v>
      </c>
      <c r="G132" s="371" t="s">
        <v>216</v>
      </c>
      <c r="H132" s="371" t="s">
        <v>770</v>
      </c>
      <c r="I132" s="371" t="s">
        <v>299</v>
      </c>
      <c r="J132" s="371" t="s">
        <v>313</v>
      </c>
      <c r="K132" s="373" t="str">
        <f>IF(O132="Zauberspruch",L132,O132)</f>
        <v>Thaumatherapie</v>
      </c>
      <c r="L132" s="373" t="s">
        <v>138</v>
      </c>
      <c r="M132" s="374" t="s">
        <v>322</v>
      </c>
      <c r="N132" s="374" t="s">
        <v>308</v>
      </c>
      <c r="O132" s="404" t="s">
        <v>1340</v>
      </c>
      <c r="P132" s="368" t="s">
        <v>75</v>
      </c>
      <c r="Q132" s="367" t="s">
        <v>1321</v>
      </c>
      <c r="R132" s="367">
        <v>84</v>
      </c>
    </row>
    <row r="133" spans="1:18" ht="20.100000000000001" customHeight="1" x14ac:dyDescent="0.2">
      <c r="A133" s="377" t="s">
        <v>1410</v>
      </c>
      <c r="B133" s="371" t="s">
        <v>220</v>
      </c>
      <c r="C133" s="371">
        <v>3</v>
      </c>
      <c r="D133" s="372">
        <v>2</v>
      </c>
      <c r="E133" s="371" t="s">
        <v>484</v>
      </c>
      <c r="F133" s="371" t="s">
        <v>25</v>
      </c>
      <c r="G133" s="371" t="s">
        <v>216</v>
      </c>
      <c r="H133" s="371" t="s">
        <v>770</v>
      </c>
      <c r="I133" s="371" t="s">
        <v>299</v>
      </c>
      <c r="J133" s="371" t="s">
        <v>313</v>
      </c>
      <c r="K133" s="373" t="str">
        <f>IF(O133="Zauberspruch",L133,O133)</f>
        <v>Thaumatherapie</v>
      </c>
      <c r="L133" s="373" t="s">
        <v>138</v>
      </c>
      <c r="M133" s="374" t="s">
        <v>308</v>
      </c>
      <c r="N133" s="374" t="s">
        <v>308</v>
      </c>
      <c r="O133" s="404" t="s">
        <v>1340</v>
      </c>
      <c r="P133" s="368" t="s">
        <v>75</v>
      </c>
      <c r="Q133" s="367" t="s">
        <v>1321</v>
      </c>
      <c r="R133" s="367">
        <v>84</v>
      </c>
    </row>
    <row r="134" spans="1:18" ht="20.100000000000001" customHeight="1" x14ac:dyDescent="0.2">
      <c r="A134" s="377" t="s">
        <v>1404</v>
      </c>
      <c r="B134" s="371" t="s">
        <v>220</v>
      </c>
      <c r="C134" s="371">
        <v>4</v>
      </c>
      <c r="D134" s="372">
        <v>3</v>
      </c>
      <c r="E134" s="371" t="s">
        <v>484</v>
      </c>
      <c r="F134" s="371" t="s">
        <v>25</v>
      </c>
      <c r="G134" s="371" t="s">
        <v>216</v>
      </c>
      <c r="H134" s="371" t="s">
        <v>770</v>
      </c>
      <c r="I134" s="371" t="s">
        <v>299</v>
      </c>
      <c r="J134" s="371" t="s">
        <v>313</v>
      </c>
      <c r="K134" s="373" t="str">
        <f>IF(O134="Zauberspruch",L134,O134)</f>
        <v>Thaumatherapie</v>
      </c>
      <c r="L134" s="373" t="s">
        <v>138</v>
      </c>
      <c r="M134" s="374" t="s">
        <v>319</v>
      </c>
      <c r="N134" s="374" t="s">
        <v>309</v>
      </c>
      <c r="O134" s="404" t="s">
        <v>1340</v>
      </c>
      <c r="P134" s="368" t="s">
        <v>75</v>
      </c>
      <c r="Q134" s="367" t="s">
        <v>1321</v>
      </c>
      <c r="R134" s="367">
        <v>83</v>
      </c>
    </row>
    <row r="135" spans="1:18" ht="20.100000000000001" customHeight="1" x14ac:dyDescent="0.2">
      <c r="A135" s="377" t="s">
        <v>1405</v>
      </c>
      <c r="B135" s="371" t="s">
        <v>220</v>
      </c>
      <c r="C135" s="371">
        <v>2</v>
      </c>
      <c r="D135" s="372">
        <v>2</v>
      </c>
      <c r="E135" s="371" t="s">
        <v>484</v>
      </c>
      <c r="F135" s="371" t="s">
        <v>25</v>
      </c>
      <c r="G135" s="371" t="s">
        <v>216</v>
      </c>
      <c r="H135" s="371" t="s">
        <v>770</v>
      </c>
      <c r="I135" s="371" t="s">
        <v>299</v>
      </c>
      <c r="J135" s="371" t="s">
        <v>313</v>
      </c>
      <c r="K135" s="373" t="str">
        <f>IF(O135="Zauberspruch",L135,O135)</f>
        <v>Thaumatherapie</v>
      </c>
      <c r="L135" s="373" t="s">
        <v>138</v>
      </c>
      <c r="M135" s="374" t="s">
        <v>322</v>
      </c>
      <c r="N135" s="374" t="s">
        <v>309</v>
      </c>
      <c r="O135" s="404" t="s">
        <v>1340</v>
      </c>
      <c r="P135" s="368" t="s">
        <v>75</v>
      </c>
      <c r="Q135" s="367" t="s">
        <v>1321</v>
      </c>
      <c r="R135" s="367">
        <v>83</v>
      </c>
    </row>
    <row r="136" spans="1:18" ht="20.100000000000001" customHeight="1" x14ac:dyDescent="0.2">
      <c r="A136" s="377" t="s">
        <v>1406</v>
      </c>
      <c r="B136" s="371" t="s">
        <v>220</v>
      </c>
      <c r="C136" s="371">
        <v>4</v>
      </c>
      <c r="D136" s="372">
        <v>3</v>
      </c>
      <c r="E136" s="371" t="s">
        <v>484</v>
      </c>
      <c r="F136" s="371" t="s">
        <v>25</v>
      </c>
      <c r="G136" s="371" t="s">
        <v>216</v>
      </c>
      <c r="H136" s="371" t="s">
        <v>770</v>
      </c>
      <c r="I136" s="371" t="s">
        <v>299</v>
      </c>
      <c r="J136" s="371" t="s">
        <v>313</v>
      </c>
      <c r="K136" s="373" t="str">
        <f>IF(O136="Zauberspruch",L136,O136)</f>
        <v>Thaumatherapie</v>
      </c>
      <c r="L136" s="373" t="s">
        <v>138</v>
      </c>
      <c r="M136" s="374" t="s">
        <v>319</v>
      </c>
      <c r="N136" s="374" t="s">
        <v>309</v>
      </c>
      <c r="O136" s="404" t="s">
        <v>1340</v>
      </c>
      <c r="P136" s="368" t="s">
        <v>75</v>
      </c>
      <c r="Q136" s="367" t="s">
        <v>1321</v>
      </c>
      <c r="R136" s="367">
        <v>83</v>
      </c>
    </row>
    <row r="137" spans="1:18" ht="20.100000000000001" customHeight="1" x14ac:dyDescent="0.2">
      <c r="A137" s="377" t="s">
        <v>1408</v>
      </c>
      <c r="B137" s="371" t="s">
        <v>220</v>
      </c>
      <c r="C137" s="371">
        <v>2</v>
      </c>
      <c r="D137" s="372">
        <v>2</v>
      </c>
      <c r="E137" s="371" t="s">
        <v>484</v>
      </c>
      <c r="F137" s="371" t="s">
        <v>25</v>
      </c>
      <c r="G137" s="371" t="s">
        <v>216</v>
      </c>
      <c r="H137" s="371" t="s">
        <v>770</v>
      </c>
      <c r="I137" s="371" t="s">
        <v>299</v>
      </c>
      <c r="J137" s="371" t="s">
        <v>313</v>
      </c>
      <c r="K137" s="373" t="str">
        <f>IF(O137="Zauberspruch",L137,O137)</f>
        <v>Thaumatherapie</v>
      </c>
      <c r="L137" s="373" t="s">
        <v>138</v>
      </c>
      <c r="M137" s="374" t="s">
        <v>322</v>
      </c>
      <c r="N137" s="374" t="s">
        <v>302</v>
      </c>
      <c r="O137" s="404" t="s">
        <v>1340</v>
      </c>
      <c r="P137" s="368" t="s">
        <v>75</v>
      </c>
      <c r="Q137" s="367" t="s">
        <v>1321</v>
      </c>
      <c r="R137" s="367">
        <v>84</v>
      </c>
    </row>
    <row r="138" spans="1:18" ht="20.100000000000001" customHeight="1" x14ac:dyDescent="0.2">
      <c r="A138" s="397" t="s">
        <v>1409</v>
      </c>
      <c r="B138" s="398" t="s">
        <v>220</v>
      </c>
      <c r="C138" s="398">
        <v>2</v>
      </c>
      <c r="D138" s="399">
        <v>2</v>
      </c>
      <c r="E138" s="398" t="s">
        <v>484</v>
      </c>
      <c r="F138" s="398" t="s">
        <v>25</v>
      </c>
      <c r="G138" s="398" t="s">
        <v>216</v>
      </c>
      <c r="H138" s="398" t="s">
        <v>770</v>
      </c>
      <c r="I138" s="371" t="s">
        <v>299</v>
      </c>
      <c r="J138" s="398" t="s">
        <v>313</v>
      </c>
      <c r="K138" s="373" t="str">
        <f>IF(O138="Zauberspruch",L138,O138)</f>
        <v>Thaumatherapie</v>
      </c>
      <c r="L138" s="400" t="s">
        <v>138</v>
      </c>
      <c r="M138" s="401" t="s">
        <v>322</v>
      </c>
      <c r="N138" s="401" t="s">
        <v>308</v>
      </c>
      <c r="O138" s="405" t="s">
        <v>1340</v>
      </c>
      <c r="P138" s="403" t="s">
        <v>75</v>
      </c>
      <c r="Q138" s="402" t="s">
        <v>1321</v>
      </c>
      <c r="R138" s="402">
        <v>84</v>
      </c>
    </row>
    <row r="139" spans="1:18" ht="20.100000000000001" customHeight="1" x14ac:dyDescent="0.2">
      <c r="A139" s="377" t="s">
        <v>407</v>
      </c>
      <c r="B139" s="371" t="s">
        <v>219</v>
      </c>
      <c r="C139" s="371">
        <v>4</v>
      </c>
      <c r="D139" s="371">
        <v>2</v>
      </c>
      <c r="E139" s="371" t="s">
        <v>324</v>
      </c>
      <c r="F139" s="371" t="s">
        <v>335</v>
      </c>
      <c r="G139" s="371" t="s">
        <v>217</v>
      </c>
      <c r="H139" s="371" t="s">
        <v>774</v>
      </c>
      <c r="I139" s="371">
        <v>0</v>
      </c>
      <c r="J139" s="371" t="s">
        <v>307</v>
      </c>
      <c r="K139" s="373" t="str">
        <f>IF(O139="Zauberspruch",L139,O139)</f>
        <v>Dweomer</v>
      </c>
      <c r="L139" s="373" t="s">
        <v>141</v>
      </c>
      <c r="M139" s="373" t="s">
        <v>301</v>
      </c>
      <c r="N139" s="373" t="s">
        <v>329</v>
      </c>
      <c r="O139" s="376" t="s">
        <v>146</v>
      </c>
      <c r="P139" s="394" t="s">
        <v>75</v>
      </c>
      <c r="Q139" s="367" t="s">
        <v>748</v>
      </c>
      <c r="R139" s="367">
        <v>151</v>
      </c>
    </row>
    <row r="140" spans="1:18" ht="20.100000000000001" customHeight="1" x14ac:dyDescent="0.2">
      <c r="A140" s="377" t="s">
        <v>408</v>
      </c>
      <c r="B140" s="371" t="s">
        <v>219</v>
      </c>
      <c r="C140" s="371">
        <v>4</v>
      </c>
      <c r="D140" s="372">
        <v>2</v>
      </c>
      <c r="E140" s="371" t="s">
        <v>324</v>
      </c>
      <c r="F140" s="371" t="s">
        <v>335</v>
      </c>
      <c r="G140" s="371" t="s">
        <v>217</v>
      </c>
      <c r="H140" s="371" t="s">
        <v>774</v>
      </c>
      <c r="I140" s="371">
        <v>0</v>
      </c>
      <c r="J140" s="371" t="s">
        <v>307</v>
      </c>
      <c r="K140" s="373" t="str">
        <f>IF(O140="Zauberspruch",L140,O140)</f>
        <v>Zerstören</v>
      </c>
      <c r="L140" s="373" t="s">
        <v>141</v>
      </c>
      <c r="M140" s="374" t="s">
        <v>322</v>
      </c>
      <c r="N140" s="374" t="s">
        <v>329</v>
      </c>
      <c r="O140" s="373" t="s">
        <v>166</v>
      </c>
      <c r="P140" s="368" t="s">
        <v>75</v>
      </c>
      <c r="Q140" s="367" t="s">
        <v>748</v>
      </c>
      <c r="R140" s="367">
        <v>76</v>
      </c>
    </row>
    <row r="141" spans="1:18" ht="20.100000000000001" customHeight="1" x14ac:dyDescent="0.2">
      <c r="A141" s="377" t="s">
        <v>409</v>
      </c>
      <c r="B141" s="371" t="s">
        <v>220</v>
      </c>
      <c r="C141" s="371">
        <v>9</v>
      </c>
      <c r="D141" s="372">
        <v>6</v>
      </c>
      <c r="E141" s="371" t="s">
        <v>347</v>
      </c>
      <c r="F141" s="371" t="s">
        <v>332</v>
      </c>
      <c r="G141" s="371" t="s">
        <v>217</v>
      </c>
      <c r="H141" s="371" t="s">
        <v>779</v>
      </c>
      <c r="I141" s="371" t="s">
        <v>306</v>
      </c>
      <c r="J141" s="371" t="s">
        <v>328</v>
      </c>
      <c r="K141" s="373" t="str">
        <f>IF(O141="Zauberspruch",L141,O141)</f>
        <v>Bewegen</v>
      </c>
      <c r="L141" s="373" t="s">
        <v>140</v>
      </c>
      <c r="M141" s="374" t="s">
        <v>302</v>
      </c>
      <c r="N141" s="374" t="s">
        <v>302</v>
      </c>
      <c r="O141" s="373" t="s">
        <v>166</v>
      </c>
      <c r="P141" s="368" t="s">
        <v>75</v>
      </c>
      <c r="Q141" s="367" t="s">
        <v>748</v>
      </c>
      <c r="R141" s="367">
        <v>76</v>
      </c>
    </row>
    <row r="142" spans="1:18" ht="20.100000000000001" customHeight="1" x14ac:dyDescent="0.2">
      <c r="A142" s="377" t="s">
        <v>410</v>
      </c>
      <c r="B142" s="371" t="s">
        <v>220</v>
      </c>
      <c r="C142" s="371">
        <v>5</v>
      </c>
      <c r="D142" s="372">
        <v>3</v>
      </c>
      <c r="E142" s="371" t="s">
        <v>304</v>
      </c>
      <c r="F142" s="371" t="s">
        <v>359</v>
      </c>
      <c r="G142" s="371" t="s">
        <v>217</v>
      </c>
      <c r="H142" s="371" t="s">
        <v>776</v>
      </c>
      <c r="I142" s="371" t="s">
        <v>318</v>
      </c>
      <c r="J142" s="371" t="s">
        <v>328</v>
      </c>
      <c r="K142" s="373" t="str">
        <f>IF(O142="Zauberspruch",L142,O142)</f>
        <v>Bewegen</v>
      </c>
      <c r="L142" s="373" t="s">
        <v>140</v>
      </c>
      <c r="M142" s="374" t="s">
        <v>302</v>
      </c>
      <c r="N142" s="374" t="s">
        <v>302</v>
      </c>
      <c r="O142" s="373" t="s">
        <v>166</v>
      </c>
      <c r="P142" s="368" t="s">
        <v>411</v>
      </c>
      <c r="Q142" s="367" t="s">
        <v>748</v>
      </c>
      <c r="R142" s="367">
        <v>76</v>
      </c>
    </row>
    <row r="143" spans="1:18" ht="20.100000000000001" customHeight="1" x14ac:dyDescent="0.2">
      <c r="A143" s="377" t="s">
        <v>1803</v>
      </c>
      <c r="B143" s="371" t="s">
        <v>220</v>
      </c>
      <c r="C143" s="371">
        <v>11</v>
      </c>
      <c r="D143" s="371">
        <v>9</v>
      </c>
      <c r="E143" s="371" t="s">
        <v>324</v>
      </c>
      <c r="F143" s="371" t="s">
        <v>332</v>
      </c>
      <c r="G143" s="371" t="s">
        <v>217</v>
      </c>
      <c r="H143" s="371" t="s">
        <v>776</v>
      </c>
      <c r="I143" s="371" t="s">
        <v>493</v>
      </c>
      <c r="J143" s="371" t="s">
        <v>328</v>
      </c>
      <c r="K143" s="373" t="str">
        <f>IF(O143="Zauberspruch",L143,O143)</f>
        <v>Bewegen</v>
      </c>
      <c r="L143" s="373" t="s">
        <v>140</v>
      </c>
      <c r="M143" s="373" t="s">
        <v>309</v>
      </c>
      <c r="N143" s="373" t="s">
        <v>302</v>
      </c>
      <c r="O143" s="373" t="s">
        <v>166</v>
      </c>
      <c r="P143" s="376" t="s">
        <v>1804</v>
      </c>
      <c r="Q143" s="367" t="s">
        <v>1872</v>
      </c>
      <c r="R143" s="367">
        <v>8</v>
      </c>
    </row>
    <row r="144" spans="1:18" ht="20.100000000000001" customHeight="1" x14ac:dyDescent="0.2">
      <c r="A144" s="377" t="s">
        <v>412</v>
      </c>
      <c r="B144" s="371" t="s">
        <v>220</v>
      </c>
      <c r="C144" s="371">
        <v>9</v>
      </c>
      <c r="D144" s="372">
        <v>6</v>
      </c>
      <c r="E144" s="371" t="s">
        <v>354</v>
      </c>
      <c r="F144" s="371" t="s">
        <v>25</v>
      </c>
      <c r="G144" s="371" t="s">
        <v>217</v>
      </c>
      <c r="H144" s="371" t="s">
        <v>413</v>
      </c>
      <c r="I144" s="371" t="s">
        <v>369</v>
      </c>
      <c r="J144" s="371" t="s">
        <v>328</v>
      </c>
      <c r="K144" s="373" t="str">
        <f>IF(O144="Zauberspruch",L144,O144)</f>
        <v>Formen</v>
      </c>
      <c r="L144" s="373" t="s">
        <v>148</v>
      </c>
      <c r="M144" s="374" t="s">
        <v>302</v>
      </c>
      <c r="N144" s="374" t="s">
        <v>302</v>
      </c>
      <c r="O144" s="373" t="s">
        <v>166</v>
      </c>
      <c r="P144" s="368" t="s">
        <v>414</v>
      </c>
      <c r="Q144" s="367" t="s">
        <v>748</v>
      </c>
      <c r="R144" s="367">
        <v>78</v>
      </c>
    </row>
    <row r="145" spans="1:18" ht="20.100000000000001" customHeight="1" x14ac:dyDescent="0.2">
      <c r="A145" s="377" t="s">
        <v>1411</v>
      </c>
      <c r="B145" s="371" t="s">
        <v>220</v>
      </c>
      <c r="C145" s="371">
        <v>3</v>
      </c>
      <c r="D145" s="372">
        <v>3</v>
      </c>
      <c r="E145" s="371" t="s">
        <v>306</v>
      </c>
      <c r="F145" s="371" t="s">
        <v>25</v>
      </c>
      <c r="G145" s="371" t="s">
        <v>216</v>
      </c>
      <c r="H145" s="371" t="s">
        <v>770</v>
      </c>
      <c r="I145" s="371">
        <v>0</v>
      </c>
      <c r="J145" s="371" t="s">
        <v>313</v>
      </c>
      <c r="K145" s="373" t="str">
        <f>IF(O145="Zauberspruch",L145,O145)</f>
        <v>Thaumatherapie</v>
      </c>
      <c r="L145" s="373" t="s">
        <v>145</v>
      </c>
      <c r="M145" s="374" t="s">
        <v>322</v>
      </c>
      <c r="N145" s="374" t="s">
        <v>308</v>
      </c>
      <c r="O145" s="404" t="s">
        <v>1340</v>
      </c>
      <c r="P145" s="368" t="s">
        <v>75</v>
      </c>
      <c r="Q145" s="367" t="s">
        <v>1321</v>
      </c>
      <c r="R145" s="367">
        <v>84</v>
      </c>
    </row>
    <row r="146" spans="1:18" ht="20.100000000000001" customHeight="1" x14ac:dyDescent="0.2">
      <c r="A146" s="377" t="s">
        <v>415</v>
      </c>
      <c r="B146" s="371" t="s">
        <v>219</v>
      </c>
      <c r="C146" s="371">
        <v>12</v>
      </c>
      <c r="D146" s="387" t="s">
        <v>416</v>
      </c>
      <c r="E146" s="371" t="s">
        <v>316</v>
      </c>
      <c r="F146" s="371" t="s">
        <v>417</v>
      </c>
      <c r="G146" s="371" t="s">
        <v>216</v>
      </c>
      <c r="H146" s="371" t="s">
        <v>770</v>
      </c>
      <c r="I146" s="371">
        <v>0</v>
      </c>
      <c r="J146" s="388" t="s">
        <v>300</v>
      </c>
      <c r="K146" s="373" t="str">
        <f>IF(O146="Zauberspruch",L146,O146)</f>
        <v>Wundertat</v>
      </c>
      <c r="L146" s="376" t="s">
        <v>145</v>
      </c>
      <c r="M146" s="376" t="s">
        <v>314</v>
      </c>
      <c r="N146" s="376" t="s">
        <v>301</v>
      </c>
      <c r="O146" s="376" t="s">
        <v>1183</v>
      </c>
      <c r="P146" s="389" t="s">
        <v>75</v>
      </c>
      <c r="Q146" s="367" t="s">
        <v>748</v>
      </c>
      <c r="R146" s="367">
        <v>138</v>
      </c>
    </row>
    <row r="147" spans="1:18" ht="20.100000000000001" customHeight="1" x14ac:dyDescent="0.2">
      <c r="A147" s="377" t="s">
        <v>418</v>
      </c>
      <c r="B147" s="371" t="s">
        <v>220</v>
      </c>
      <c r="C147" s="371">
        <v>4</v>
      </c>
      <c r="D147" s="387">
        <v>4</v>
      </c>
      <c r="E147" s="371" t="s">
        <v>354</v>
      </c>
      <c r="F147" s="371" t="s">
        <v>25</v>
      </c>
      <c r="G147" s="371" t="s">
        <v>216</v>
      </c>
      <c r="H147" s="371" t="s">
        <v>770</v>
      </c>
      <c r="I147" s="371">
        <v>0</v>
      </c>
      <c r="J147" s="388" t="s">
        <v>300</v>
      </c>
      <c r="K147" s="373" t="str">
        <f>IF(O147="Zauberspruch",L147,O147)</f>
        <v>Wundertat</v>
      </c>
      <c r="L147" s="376" t="s">
        <v>145</v>
      </c>
      <c r="M147" s="376" t="s">
        <v>314</v>
      </c>
      <c r="N147" s="376" t="s">
        <v>308</v>
      </c>
      <c r="O147" s="376" t="s">
        <v>1183</v>
      </c>
      <c r="P147" s="389" t="s">
        <v>75</v>
      </c>
      <c r="Q147" s="367" t="s">
        <v>748</v>
      </c>
      <c r="R147" s="367">
        <v>139</v>
      </c>
    </row>
    <row r="148" spans="1:18" ht="20.100000000000001" customHeight="1" x14ac:dyDescent="0.2">
      <c r="A148" s="377" t="s">
        <v>1412</v>
      </c>
      <c r="B148" s="371" t="s">
        <v>220</v>
      </c>
      <c r="C148" s="371">
        <v>7</v>
      </c>
      <c r="D148" s="372">
        <v>5</v>
      </c>
      <c r="E148" s="371" t="s">
        <v>306</v>
      </c>
      <c r="F148" s="371" t="s">
        <v>25</v>
      </c>
      <c r="G148" s="371" t="s">
        <v>216</v>
      </c>
      <c r="H148" s="371" t="s">
        <v>770</v>
      </c>
      <c r="I148" s="371" t="s">
        <v>1413</v>
      </c>
      <c r="J148" s="371" t="s">
        <v>313</v>
      </c>
      <c r="K148" s="373" t="str">
        <f>IF(O148="Zauberspruch",L148,O148)</f>
        <v>Thaumatherapie</v>
      </c>
      <c r="L148" s="373" t="s">
        <v>138</v>
      </c>
      <c r="M148" s="374" t="s">
        <v>322</v>
      </c>
      <c r="N148" s="374" t="s">
        <v>308</v>
      </c>
      <c r="O148" s="404" t="s">
        <v>1340</v>
      </c>
      <c r="P148" s="368" t="s">
        <v>75</v>
      </c>
      <c r="Q148" s="367" t="s">
        <v>1321</v>
      </c>
      <c r="R148" s="367">
        <v>85</v>
      </c>
    </row>
    <row r="149" spans="1:18" ht="20.100000000000001" customHeight="1" x14ac:dyDescent="0.2">
      <c r="A149" s="377" t="s">
        <v>419</v>
      </c>
      <c r="B149" s="371" t="s">
        <v>218</v>
      </c>
      <c r="C149" s="371">
        <v>2</v>
      </c>
      <c r="D149" s="387">
        <v>1</v>
      </c>
      <c r="E149" s="371" t="s">
        <v>304</v>
      </c>
      <c r="F149" s="371" t="s">
        <v>332</v>
      </c>
      <c r="G149" s="371" t="s">
        <v>215</v>
      </c>
      <c r="H149" s="371" t="s">
        <v>420</v>
      </c>
      <c r="I149" s="371">
        <v>0</v>
      </c>
      <c r="J149" s="388" t="s">
        <v>300</v>
      </c>
      <c r="K149" s="373" t="str">
        <f>IF(O149="Zauberspruch",L149,O149)</f>
        <v>Wundertat</v>
      </c>
      <c r="L149" s="376" t="s">
        <v>143</v>
      </c>
      <c r="M149" s="376" t="s">
        <v>314</v>
      </c>
      <c r="N149" s="376" t="s">
        <v>314</v>
      </c>
      <c r="O149" s="376" t="s">
        <v>1183</v>
      </c>
      <c r="P149" s="389" t="s">
        <v>75</v>
      </c>
      <c r="Q149" s="367" t="s">
        <v>748</v>
      </c>
      <c r="R149" s="367">
        <v>139</v>
      </c>
    </row>
    <row r="150" spans="1:18" ht="20.100000000000001" customHeight="1" x14ac:dyDescent="0.2">
      <c r="A150" s="377" t="s">
        <v>421</v>
      </c>
      <c r="B150" s="371" t="s">
        <v>218</v>
      </c>
      <c r="C150" s="371">
        <v>3</v>
      </c>
      <c r="D150" s="387">
        <v>2</v>
      </c>
      <c r="E150" s="371" t="s">
        <v>311</v>
      </c>
      <c r="F150" s="371" t="s">
        <v>332</v>
      </c>
      <c r="G150" s="371" t="s">
        <v>215</v>
      </c>
      <c r="H150" s="371" t="s">
        <v>420</v>
      </c>
      <c r="I150" s="371" t="s">
        <v>311</v>
      </c>
      <c r="J150" s="388" t="s">
        <v>300</v>
      </c>
      <c r="K150" s="373" t="str">
        <f>IF(O150="Zauberspruch",L150,O150)</f>
        <v>Wundertat</v>
      </c>
      <c r="L150" s="376" t="s">
        <v>143</v>
      </c>
      <c r="M150" s="376" t="s">
        <v>314</v>
      </c>
      <c r="N150" s="376" t="s">
        <v>308</v>
      </c>
      <c r="O150" s="376" t="s">
        <v>1183</v>
      </c>
      <c r="P150" s="389" t="s">
        <v>75</v>
      </c>
      <c r="Q150" s="367" t="s">
        <v>748</v>
      </c>
      <c r="R150" s="367">
        <v>140</v>
      </c>
    </row>
    <row r="151" spans="1:18" ht="20.100000000000001" customHeight="1" x14ac:dyDescent="0.2">
      <c r="A151" s="377" t="s">
        <v>422</v>
      </c>
      <c r="B151" s="371" t="s">
        <v>218</v>
      </c>
      <c r="C151" s="371">
        <v>4</v>
      </c>
      <c r="D151" s="371">
        <v>2</v>
      </c>
      <c r="E151" s="371" t="s">
        <v>304</v>
      </c>
      <c r="F151" s="371" t="s">
        <v>321</v>
      </c>
      <c r="G151" s="371" t="s">
        <v>215</v>
      </c>
      <c r="H151" s="371" t="s">
        <v>423</v>
      </c>
      <c r="I151" s="371">
        <v>0</v>
      </c>
      <c r="J151" s="371" t="s">
        <v>307</v>
      </c>
      <c r="K151" s="373" t="str">
        <f>IF(O151="Zauberspruch",L151,O151)</f>
        <v>Dweomer</v>
      </c>
      <c r="L151" s="373" t="s">
        <v>143</v>
      </c>
      <c r="M151" s="373" t="s">
        <v>301</v>
      </c>
      <c r="N151" s="373" t="s">
        <v>329</v>
      </c>
      <c r="O151" s="376" t="s">
        <v>146</v>
      </c>
      <c r="P151" s="394" t="s">
        <v>75</v>
      </c>
      <c r="Q151" s="367" t="s">
        <v>748</v>
      </c>
      <c r="R151" s="367">
        <v>151</v>
      </c>
    </row>
    <row r="152" spans="1:18" ht="20.100000000000001" customHeight="1" x14ac:dyDescent="0.2">
      <c r="A152" s="377" t="s">
        <v>424</v>
      </c>
      <c r="B152" s="371" t="s">
        <v>218</v>
      </c>
      <c r="C152" s="371">
        <v>2</v>
      </c>
      <c r="D152" s="371">
        <v>1</v>
      </c>
      <c r="E152" s="371" t="s">
        <v>306</v>
      </c>
      <c r="F152" s="371" t="s">
        <v>25</v>
      </c>
      <c r="G152" s="371" t="s">
        <v>215</v>
      </c>
      <c r="H152" s="371" t="s">
        <v>770</v>
      </c>
      <c r="I152" s="371">
        <v>0</v>
      </c>
      <c r="J152" s="371" t="s">
        <v>307</v>
      </c>
      <c r="K152" s="373" t="str">
        <f>IF(O152="Zauberspruch",L152,O152)</f>
        <v>Dweomer</v>
      </c>
      <c r="L152" s="373" t="s">
        <v>143</v>
      </c>
      <c r="M152" s="373" t="s">
        <v>301</v>
      </c>
      <c r="N152" s="373" t="s">
        <v>329</v>
      </c>
      <c r="O152" s="376" t="s">
        <v>146</v>
      </c>
      <c r="P152" s="394" t="s">
        <v>75</v>
      </c>
      <c r="Q152" s="367" t="s">
        <v>748</v>
      </c>
      <c r="R152" s="367">
        <v>151</v>
      </c>
    </row>
    <row r="153" spans="1:18" ht="20.100000000000001" customHeight="1" x14ac:dyDescent="0.2">
      <c r="A153" s="377" t="s">
        <v>425</v>
      </c>
      <c r="B153" s="371" t="s">
        <v>218</v>
      </c>
      <c r="C153" s="371">
        <v>2</v>
      </c>
      <c r="D153" s="387">
        <v>1</v>
      </c>
      <c r="E153" s="371" t="s">
        <v>306</v>
      </c>
      <c r="F153" s="371" t="s">
        <v>25</v>
      </c>
      <c r="G153" s="371" t="s">
        <v>215</v>
      </c>
      <c r="H153" s="371" t="s">
        <v>770</v>
      </c>
      <c r="I153" s="371">
        <v>0</v>
      </c>
      <c r="J153" s="388" t="s">
        <v>307</v>
      </c>
      <c r="K153" s="373" t="str">
        <f>IF(O153="Zauberspruch",L153,O153)</f>
        <v>Wundertat</v>
      </c>
      <c r="L153" s="376" t="s">
        <v>143</v>
      </c>
      <c r="M153" s="376" t="s">
        <v>314</v>
      </c>
      <c r="N153" s="376" t="s">
        <v>329</v>
      </c>
      <c r="O153" s="376" t="s">
        <v>1183</v>
      </c>
      <c r="P153" s="389" t="s">
        <v>75</v>
      </c>
      <c r="Q153" s="367" t="s">
        <v>748</v>
      </c>
      <c r="R153" s="367">
        <v>140</v>
      </c>
    </row>
    <row r="154" spans="1:18" ht="20.100000000000001" customHeight="1" x14ac:dyDescent="0.2">
      <c r="A154" s="377" t="s">
        <v>426</v>
      </c>
      <c r="B154" s="371" t="s">
        <v>218</v>
      </c>
      <c r="C154" s="371">
        <v>1</v>
      </c>
      <c r="D154" s="372">
        <v>1</v>
      </c>
      <c r="E154" s="371" t="s">
        <v>304</v>
      </c>
      <c r="F154" s="371" t="s">
        <v>332</v>
      </c>
      <c r="G154" s="371" t="s">
        <v>215</v>
      </c>
      <c r="H154" s="371" t="s">
        <v>427</v>
      </c>
      <c r="I154" s="371" t="s">
        <v>347</v>
      </c>
      <c r="J154" s="371" t="s">
        <v>313</v>
      </c>
      <c r="K154" s="373" t="str">
        <f>IF(O154="Zauberspruch",L154,O154)</f>
        <v>Erkennen</v>
      </c>
      <c r="L154" s="373" t="s">
        <v>143</v>
      </c>
      <c r="M154" s="374" t="s">
        <v>322</v>
      </c>
      <c r="N154" s="374" t="s">
        <v>309</v>
      </c>
      <c r="O154" s="373" t="s">
        <v>166</v>
      </c>
      <c r="P154" s="368" t="s">
        <v>75</v>
      </c>
      <c r="Q154" s="367" t="s">
        <v>748</v>
      </c>
      <c r="R154" s="367">
        <v>78</v>
      </c>
    </row>
    <row r="155" spans="1:18" ht="20.100000000000001" customHeight="1" x14ac:dyDescent="0.2">
      <c r="A155" s="377" t="s">
        <v>1513</v>
      </c>
      <c r="B155" s="371" t="s">
        <v>219</v>
      </c>
      <c r="C155" s="371">
        <v>1</v>
      </c>
      <c r="D155" s="372">
        <v>1</v>
      </c>
      <c r="E155" s="371" t="s">
        <v>304</v>
      </c>
      <c r="F155" s="371" t="s">
        <v>332</v>
      </c>
      <c r="G155" s="371" t="s">
        <v>217</v>
      </c>
      <c r="H155" s="371" t="s">
        <v>427</v>
      </c>
      <c r="I155" s="371" t="s">
        <v>347</v>
      </c>
      <c r="J155" s="371" t="s">
        <v>313</v>
      </c>
      <c r="K155" s="373" t="str">
        <f>IF(O155="Zauberspruch",L155,O155)</f>
        <v>Zaubersiegel</v>
      </c>
      <c r="L155" s="373" t="s">
        <v>143</v>
      </c>
      <c r="M155" s="374" t="s">
        <v>322</v>
      </c>
      <c r="N155" s="374" t="s">
        <v>309</v>
      </c>
      <c r="O155" s="404" t="s">
        <v>1322</v>
      </c>
      <c r="P155" s="368" t="s">
        <v>1506</v>
      </c>
      <c r="Q155" s="367" t="s">
        <v>1321</v>
      </c>
      <c r="R155" s="367">
        <v>56</v>
      </c>
    </row>
    <row r="156" spans="1:18" ht="20.100000000000001" customHeight="1" x14ac:dyDescent="0.2">
      <c r="A156" s="377" t="s">
        <v>428</v>
      </c>
      <c r="B156" s="371" t="s">
        <v>218</v>
      </c>
      <c r="C156" s="371">
        <v>4</v>
      </c>
      <c r="D156" s="372">
        <v>2</v>
      </c>
      <c r="E156" s="371" t="s">
        <v>304</v>
      </c>
      <c r="F156" s="371" t="s">
        <v>321</v>
      </c>
      <c r="G156" s="371" t="s">
        <v>215</v>
      </c>
      <c r="H156" s="371" t="s">
        <v>423</v>
      </c>
      <c r="I156" s="371">
        <v>0</v>
      </c>
      <c r="J156" s="371" t="s">
        <v>313</v>
      </c>
      <c r="K156" s="373" t="str">
        <f>IF(O156="Zauberspruch",L156,O156)</f>
        <v>Erkennen</v>
      </c>
      <c r="L156" s="373" t="s">
        <v>143</v>
      </c>
      <c r="M156" s="374" t="s">
        <v>322</v>
      </c>
      <c r="N156" s="374" t="s">
        <v>322</v>
      </c>
      <c r="O156" s="373" t="s">
        <v>166</v>
      </c>
      <c r="P156" s="368" t="s">
        <v>75</v>
      </c>
      <c r="Q156" s="367" t="s">
        <v>748</v>
      </c>
      <c r="R156" s="367">
        <v>78</v>
      </c>
    </row>
    <row r="157" spans="1:18" ht="20.100000000000001" customHeight="1" x14ac:dyDescent="0.2">
      <c r="A157" s="377" t="s">
        <v>1514</v>
      </c>
      <c r="B157" s="371" t="s">
        <v>219</v>
      </c>
      <c r="C157" s="371">
        <v>4</v>
      </c>
      <c r="D157" s="372">
        <v>2</v>
      </c>
      <c r="E157" s="371" t="s">
        <v>304</v>
      </c>
      <c r="F157" s="371" t="s">
        <v>335</v>
      </c>
      <c r="G157" s="371" t="s">
        <v>217</v>
      </c>
      <c r="H157" s="371" t="s">
        <v>774</v>
      </c>
      <c r="I157" s="371">
        <v>0</v>
      </c>
      <c r="J157" s="371" t="s">
        <v>313</v>
      </c>
      <c r="K157" s="373" t="str">
        <f>IF(O157="Zauberspruch",L157,O157)</f>
        <v>Zaubersiegel</v>
      </c>
      <c r="L157" s="373" t="s">
        <v>143</v>
      </c>
      <c r="M157" s="374" t="s">
        <v>322</v>
      </c>
      <c r="N157" s="374" t="s">
        <v>322</v>
      </c>
      <c r="O157" s="404" t="s">
        <v>1322</v>
      </c>
      <c r="P157" s="368" t="s">
        <v>1500</v>
      </c>
      <c r="Q157" s="367" t="s">
        <v>1321</v>
      </c>
      <c r="R157" s="367">
        <v>56</v>
      </c>
    </row>
    <row r="158" spans="1:18" ht="20.100000000000001" customHeight="1" x14ac:dyDescent="0.2">
      <c r="A158" s="377" t="s">
        <v>1390</v>
      </c>
      <c r="B158" s="371" t="s">
        <v>219</v>
      </c>
      <c r="C158" s="371">
        <v>2</v>
      </c>
      <c r="D158" s="372">
        <v>2</v>
      </c>
      <c r="E158" s="371" t="s">
        <v>304</v>
      </c>
      <c r="F158" s="371" t="s">
        <v>321</v>
      </c>
      <c r="G158" s="371" t="s">
        <v>215</v>
      </c>
      <c r="H158" s="371" t="s">
        <v>770</v>
      </c>
      <c r="I158" s="371" t="s">
        <v>318</v>
      </c>
      <c r="J158" s="371" t="s">
        <v>307</v>
      </c>
      <c r="K158" s="373" t="str">
        <f>IF(O158="Zauberspruch",L158,O158)</f>
        <v>Dweomer</v>
      </c>
      <c r="L158" s="373" t="s">
        <v>137</v>
      </c>
      <c r="M158" s="374" t="s">
        <v>301</v>
      </c>
      <c r="N158" s="374" t="s">
        <v>309</v>
      </c>
      <c r="O158" s="404" t="s">
        <v>146</v>
      </c>
      <c r="P158" s="368" t="s">
        <v>75</v>
      </c>
      <c r="Q158" s="367" t="s">
        <v>1321</v>
      </c>
      <c r="R158" s="367">
        <v>92</v>
      </c>
    </row>
    <row r="159" spans="1:18" ht="20.100000000000001" customHeight="1" x14ac:dyDescent="0.2">
      <c r="A159" s="377" t="s">
        <v>429</v>
      </c>
      <c r="B159" s="371" t="s">
        <v>220</v>
      </c>
      <c r="C159" s="371">
        <v>10</v>
      </c>
      <c r="D159" s="372">
        <v>6</v>
      </c>
      <c r="E159" s="371" t="s">
        <v>354</v>
      </c>
      <c r="F159" s="371" t="s">
        <v>305</v>
      </c>
      <c r="G159" s="371" t="s">
        <v>215</v>
      </c>
      <c r="H159" s="371" t="s">
        <v>777</v>
      </c>
      <c r="I159" s="371" t="s">
        <v>325</v>
      </c>
      <c r="J159" s="371" t="s">
        <v>313</v>
      </c>
      <c r="K159" s="373" t="str">
        <f>IF(O159="Zauberspruch",L159,O159)</f>
        <v>Beherrschen</v>
      </c>
      <c r="L159" s="373" t="s">
        <v>137</v>
      </c>
      <c r="M159" s="374" t="s">
        <v>322</v>
      </c>
      <c r="N159" s="374" t="s">
        <v>308</v>
      </c>
      <c r="O159" s="373" t="s">
        <v>166</v>
      </c>
      <c r="P159" s="368" t="s">
        <v>430</v>
      </c>
      <c r="Q159" s="367" t="s">
        <v>748</v>
      </c>
      <c r="R159" s="367">
        <v>79</v>
      </c>
    </row>
    <row r="160" spans="1:18" ht="20.100000000000001" customHeight="1" x14ac:dyDescent="0.2">
      <c r="A160" s="377" t="s">
        <v>431</v>
      </c>
      <c r="B160" s="371" t="s">
        <v>220</v>
      </c>
      <c r="C160" s="371">
        <v>5</v>
      </c>
      <c r="D160" s="372">
        <v>3</v>
      </c>
      <c r="E160" s="371" t="s">
        <v>311</v>
      </c>
      <c r="F160" s="371" t="s">
        <v>305</v>
      </c>
      <c r="G160" s="371" t="s">
        <v>216</v>
      </c>
      <c r="H160" s="371" t="s">
        <v>770</v>
      </c>
      <c r="I160" s="371" t="s">
        <v>318</v>
      </c>
      <c r="J160" s="371" t="s">
        <v>370</v>
      </c>
      <c r="K160" s="373" t="str">
        <f>IF(O160="Zauberspruch",L160,O160)</f>
        <v>Verändern</v>
      </c>
      <c r="L160" s="373" t="s">
        <v>138</v>
      </c>
      <c r="M160" s="374" t="s">
        <v>329</v>
      </c>
      <c r="N160" s="374" t="s">
        <v>302</v>
      </c>
      <c r="O160" s="373" t="s">
        <v>166</v>
      </c>
      <c r="P160" s="368"/>
      <c r="Q160" s="367" t="s">
        <v>748</v>
      </c>
      <c r="R160" s="367">
        <v>79</v>
      </c>
    </row>
    <row r="161" spans="1:18" ht="20.100000000000001" customHeight="1" x14ac:dyDescent="0.2">
      <c r="A161" s="377" t="s">
        <v>1185</v>
      </c>
      <c r="B161" s="371" t="s">
        <v>220</v>
      </c>
      <c r="C161" s="371">
        <v>3</v>
      </c>
      <c r="D161" s="371" t="s">
        <v>755</v>
      </c>
      <c r="E161" s="371" t="s">
        <v>347</v>
      </c>
      <c r="F161" s="371" t="s">
        <v>25</v>
      </c>
      <c r="G161" s="371" t="s">
        <v>216</v>
      </c>
      <c r="H161" s="371" t="s">
        <v>771</v>
      </c>
      <c r="I161" s="371" t="s">
        <v>299</v>
      </c>
      <c r="J161" s="371" t="s">
        <v>307</v>
      </c>
      <c r="K161" s="373" t="str">
        <f>IF(O161="Zauberspruch",L161,O161)</f>
        <v>Dweomer</v>
      </c>
      <c r="L161" s="373" t="s">
        <v>138</v>
      </c>
      <c r="M161" s="373" t="s">
        <v>301</v>
      </c>
      <c r="N161" s="373" t="s">
        <v>302</v>
      </c>
      <c r="O161" s="376" t="s">
        <v>146</v>
      </c>
      <c r="P161" s="394" t="s">
        <v>432</v>
      </c>
      <c r="Q161" s="367" t="s">
        <v>748</v>
      </c>
      <c r="R161" s="367">
        <v>151</v>
      </c>
    </row>
    <row r="162" spans="1:18" ht="20.100000000000001" customHeight="1" x14ac:dyDescent="0.2">
      <c r="A162" s="377" t="s">
        <v>1443</v>
      </c>
      <c r="B162" s="371" t="s">
        <v>218</v>
      </c>
      <c r="C162" s="371">
        <v>2</v>
      </c>
      <c r="D162" s="372">
        <v>1</v>
      </c>
      <c r="E162" s="371" t="s">
        <v>304</v>
      </c>
      <c r="F162" s="371" t="s">
        <v>472</v>
      </c>
      <c r="G162" s="371" t="s">
        <v>217</v>
      </c>
      <c r="H162" s="371" t="s">
        <v>774</v>
      </c>
      <c r="I162" s="371" t="s">
        <v>493</v>
      </c>
      <c r="J162" s="371" t="s">
        <v>313</v>
      </c>
      <c r="K162" s="373" t="str">
        <f>IF(O162="Zauberspruch",L162,O162)</f>
        <v>Zaubersalz</v>
      </c>
      <c r="L162" s="373" t="s">
        <v>148</v>
      </c>
      <c r="M162" s="374" t="s">
        <v>322</v>
      </c>
      <c r="N162" s="374" t="s">
        <v>301</v>
      </c>
      <c r="O162" s="404" t="s">
        <v>1439</v>
      </c>
      <c r="P162" s="368" t="s">
        <v>1706</v>
      </c>
      <c r="Q162" s="367" t="s">
        <v>1321</v>
      </c>
      <c r="R162" s="367">
        <v>45</v>
      </c>
    </row>
    <row r="163" spans="1:18" ht="20.100000000000001" customHeight="1" x14ac:dyDescent="0.2">
      <c r="A163" s="377" t="s">
        <v>433</v>
      </c>
      <c r="B163" s="371" t="s">
        <v>220</v>
      </c>
      <c r="C163" s="371">
        <v>5</v>
      </c>
      <c r="D163" s="371">
        <v>2</v>
      </c>
      <c r="E163" s="371" t="s">
        <v>311</v>
      </c>
      <c r="F163" s="371" t="s">
        <v>321</v>
      </c>
      <c r="G163" s="371" t="s">
        <v>216</v>
      </c>
      <c r="H163" s="371" t="s">
        <v>770</v>
      </c>
      <c r="I163" s="371" t="s">
        <v>369</v>
      </c>
      <c r="J163" s="371" t="s">
        <v>307</v>
      </c>
      <c r="K163" s="373" t="str">
        <f>IF(O163="Zauberspruch",L163,O163)</f>
        <v>Dweomer</v>
      </c>
      <c r="L163" s="373" t="s">
        <v>138</v>
      </c>
      <c r="M163" s="373" t="s">
        <v>301</v>
      </c>
      <c r="N163" s="373" t="s">
        <v>302</v>
      </c>
      <c r="O163" s="376" t="s">
        <v>146</v>
      </c>
      <c r="P163" s="394" t="s">
        <v>75</v>
      </c>
      <c r="Q163" s="367" t="s">
        <v>748</v>
      </c>
      <c r="R163" s="367">
        <v>152</v>
      </c>
    </row>
    <row r="164" spans="1:18" ht="20.100000000000001" customHeight="1" x14ac:dyDescent="0.2">
      <c r="A164" s="377" t="s">
        <v>434</v>
      </c>
      <c r="B164" s="371" t="s">
        <v>220</v>
      </c>
      <c r="C164" s="371">
        <v>6</v>
      </c>
      <c r="D164" s="371">
        <v>6</v>
      </c>
      <c r="E164" s="371" t="s">
        <v>306</v>
      </c>
      <c r="F164" s="371" t="s">
        <v>305</v>
      </c>
      <c r="G164" s="371" t="s">
        <v>215</v>
      </c>
      <c r="H164" s="371" t="s">
        <v>794</v>
      </c>
      <c r="I164" s="371" t="s">
        <v>338</v>
      </c>
      <c r="J164" s="371" t="s">
        <v>307</v>
      </c>
      <c r="K164" s="373" t="str">
        <f>IF(O164="Zauberspruch",L164,O164)</f>
        <v>Dweomer</v>
      </c>
      <c r="L164" s="373" t="s">
        <v>138</v>
      </c>
      <c r="M164" s="373" t="s">
        <v>301</v>
      </c>
      <c r="N164" s="373" t="s">
        <v>314</v>
      </c>
      <c r="O164" s="376" t="s">
        <v>146</v>
      </c>
      <c r="P164" s="394" t="s">
        <v>1193</v>
      </c>
      <c r="Q164" s="367" t="s">
        <v>748</v>
      </c>
      <c r="R164" s="367">
        <v>152</v>
      </c>
    </row>
    <row r="165" spans="1:18" ht="20.100000000000001" customHeight="1" x14ac:dyDescent="0.2">
      <c r="A165" s="377" t="s">
        <v>435</v>
      </c>
      <c r="B165" s="371" t="s">
        <v>220</v>
      </c>
      <c r="C165" s="371">
        <v>6</v>
      </c>
      <c r="D165" s="371">
        <v>4</v>
      </c>
      <c r="E165" s="371" t="s">
        <v>311</v>
      </c>
      <c r="F165" s="371" t="s">
        <v>332</v>
      </c>
      <c r="G165" s="371" t="s">
        <v>217</v>
      </c>
      <c r="H165" s="371" t="s">
        <v>75</v>
      </c>
      <c r="I165" s="371" t="s">
        <v>318</v>
      </c>
      <c r="J165" s="371" t="s">
        <v>307</v>
      </c>
      <c r="K165" s="373" t="str">
        <f>IF(O165="Zauberspruch",L165,O165)</f>
        <v>Dweomer</v>
      </c>
      <c r="L165" s="373" t="s">
        <v>145</v>
      </c>
      <c r="M165" s="373" t="s">
        <v>301</v>
      </c>
      <c r="N165" s="373" t="s">
        <v>301</v>
      </c>
      <c r="O165" s="376" t="s">
        <v>146</v>
      </c>
      <c r="P165" s="394" t="s">
        <v>405</v>
      </c>
      <c r="Q165" s="367" t="s">
        <v>748</v>
      </c>
      <c r="R165" s="367">
        <v>152</v>
      </c>
    </row>
    <row r="166" spans="1:18" ht="20.100000000000001" customHeight="1" x14ac:dyDescent="0.2">
      <c r="A166" s="377" t="s">
        <v>1841</v>
      </c>
      <c r="B166" s="371" t="s">
        <v>220</v>
      </c>
      <c r="C166" s="371">
        <v>5</v>
      </c>
      <c r="D166" s="371">
        <v>4</v>
      </c>
      <c r="E166" s="371" t="s">
        <v>311</v>
      </c>
      <c r="F166" s="371" t="s">
        <v>321</v>
      </c>
      <c r="G166" s="371" t="s">
        <v>217</v>
      </c>
      <c r="H166" s="371" t="s">
        <v>774</v>
      </c>
      <c r="I166" s="371" t="s">
        <v>318</v>
      </c>
      <c r="J166" s="371" t="s">
        <v>307</v>
      </c>
      <c r="K166" s="373" t="str">
        <f>IF(O166="Zauberspruch",L166,O166)</f>
        <v>Dweomer</v>
      </c>
      <c r="L166" s="373" t="s">
        <v>148</v>
      </c>
      <c r="M166" s="373" t="s">
        <v>322</v>
      </c>
      <c r="N166" s="373" t="s">
        <v>319</v>
      </c>
      <c r="O166" s="376" t="s">
        <v>146</v>
      </c>
      <c r="P166" s="376" t="s">
        <v>75</v>
      </c>
      <c r="Q166" s="367" t="s">
        <v>1872</v>
      </c>
      <c r="R166" s="367">
        <v>21</v>
      </c>
    </row>
    <row r="167" spans="1:18" ht="20.100000000000001" customHeight="1" x14ac:dyDescent="0.2">
      <c r="A167" s="377" t="s">
        <v>436</v>
      </c>
      <c r="B167" s="371" t="s">
        <v>220</v>
      </c>
      <c r="C167" s="371">
        <v>2</v>
      </c>
      <c r="D167" s="372">
        <v>1</v>
      </c>
      <c r="E167" s="371" t="s">
        <v>311</v>
      </c>
      <c r="F167" s="371" t="s">
        <v>25</v>
      </c>
      <c r="G167" s="371" t="s">
        <v>216</v>
      </c>
      <c r="H167" s="371" t="s">
        <v>770</v>
      </c>
      <c r="I167" s="371" t="s">
        <v>318</v>
      </c>
      <c r="J167" s="371" t="s">
        <v>328</v>
      </c>
      <c r="K167" s="373" t="str">
        <f>IF(O167="Zauberspruch",L167,O167)</f>
        <v>Verändern</v>
      </c>
      <c r="L167" s="373" t="s">
        <v>138</v>
      </c>
      <c r="M167" s="374" t="s">
        <v>302</v>
      </c>
      <c r="N167" s="374" t="s">
        <v>302</v>
      </c>
      <c r="O167" s="373" t="s">
        <v>166</v>
      </c>
      <c r="P167" s="368" t="s">
        <v>437</v>
      </c>
      <c r="Q167" s="367" t="s">
        <v>748</v>
      </c>
      <c r="R167" s="367">
        <v>81</v>
      </c>
    </row>
    <row r="168" spans="1:18" ht="20.100000000000001" customHeight="1" x14ac:dyDescent="0.2">
      <c r="A168" s="377" t="s">
        <v>438</v>
      </c>
      <c r="B168" s="371" t="s">
        <v>220</v>
      </c>
      <c r="C168" s="371">
        <v>6</v>
      </c>
      <c r="D168" s="372" t="s">
        <v>756</v>
      </c>
      <c r="E168" s="371" t="s">
        <v>311</v>
      </c>
      <c r="F168" s="371" t="s">
        <v>305</v>
      </c>
      <c r="G168" s="371" t="s">
        <v>216</v>
      </c>
      <c r="H168" s="371" t="s">
        <v>770</v>
      </c>
      <c r="I168" s="371" t="s">
        <v>439</v>
      </c>
      <c r="J168" s="371" t="s">
        <v>300</v>
      </c>
      <c r="K168" s="373" t="str">
        <f>IF(O168="Zauberspruch",L168,O168)</f>
        <v>Erschaffen</v>
      </c>
      <c r="L168" s="373" t="s">
        <v>145</v>
      </c>
      <c r="M168" s="374" t="s">
        <v>314</v>
      </c>
      <c r="N168" s="374" t="s">
        <v>322</v>
      </c>
      <c r="O168" s="373" t="s">
        <v>166</v>
      </c>
      <c r="P168" s="368" t="s">
        <v>440</v>
      </c>
      <c r="Q168" s="367" t="s">
        <v>748</v>
      </c>
      <c r="R168" s="367">
        <v>81</v>
      </c>
    </row>
    <row r="169" spans="1:18" ht="20.100000000000001" customHeight="1" x14ac:dyDescent="0.2">
      <c r="A169" s="377" t="s">
        <v>1478</v>
      </c>
      <c r="B169" s="371" t="s">
        <v>220</v>
      </c>
      <c r="C169" s="371">
        <v>6</v>
      </c>
      <c r="D169" s="372" t="s">
        <v>1479</v>
      </c>
      <c r="E169" s="371" t="s">
        <v>304</v>
      </c>
      <c r="F169" s="371" t="s">
        <v>305</v>
      </c>
      <c r="G169" s="371" t="s">
        <v>216</v>
      </c>
      <c r="H169" s="371" t="s">
        <v>770</v>
      </c>
      <c r="I169" s="371" t="s">
        <v>439</v>
      </c>
      <c r="J169" s="371" t="s">
        <v>300</v>
      </c>
      <c r="K169" s="373" t="str">
        <f>IF(O169="Zauberspruch",L169,O169)</f>
        <v>Runenstab</v>
      </c>
      <c r="L169" s="373" t="s">
        <v>145</v>
      </c>
      <c r="M169" s="374" t="s">
        <v>314</v>
      </c>
      <c r="N169" s="374" t="s">
        <v>322</v>
      </c>
      <c r="O169" s="404" t="s">
        <v>1472</v>
      </c>
      <c r="P169" s="368" t="s">
        <v>75</v>
      </c>
      <c r="Q169" s="367" t="s">
        <v>1321</v>
      </c>
      <c r="R169" s="367">
        <v>51</v>
      </c>
    </row>
    <row r="170" spans="1:18" ht="20.100000000000001" customHeight="1" x14ac:dyDescent="0.2">
      <c r="A170" s="377" t="s">
        <v>1607</v>
      </c>
      <c r="B170" s="371" t="s">
        <v>220</v>
      </c>
      <c r="C170" s="371">
        <v>8</v>
      </c>
      <c r="D170" s="372">
        <v>4</v>
      </c>
      <c r="E170" s="371" t="s">
        <v>299</v>
      </c>
      <c r="F170" s="371" t="s">
        <v>305</v>
      </c>
      <c r="G170" s="371" t="s">
        <v>216</v>
      </c>
      <c r="H170" s="371" t="s">
        <v>770</v>
      </c>
      <c r="I170" s="371" t="s">
        <v>316</v>
      </c>
      <c r="J170" s="371" t="s">
        <v>300</v>
      </c>
      <c r="K170" s="373" t="str">
        <f>IF(O170="Zauberspruch",L170,O170)</f>
        <v>Zauberrune</v>
      </c>
      <c r="L170" s="373" t="s">
        <v>138</v>
      </c>
      <c r="M170" s="374" t="s">
        <v>319</v>
      </c>
      <c r="N170" s="374" t="s">
        <v>302</v>
      </c>
      <c r="O170" s="404" t="s">
        <v>1601</v>
      </c>
      <c r="P170" s="368" t="s">
        <v>1713</v>
      </c>
      <c r="Q170" s="367" t="s">
        <v>1321</v>
      </c>
      <c r="R170" s="367">
        <v>70</v>
      </c>
    </row>
    <row r="171" spans="1:18" ht="20.100000000000001" customHeight="1" x14ac:dyDescent="0.2">
      <c r="A171" s="377" t="s">
        <v>1608</v>
      </c>
      <c r="B171" s="371" t="s">
        <v>220</v>
      </c>
      <c r="C171" s="371">
        <v>7</v>
      </c>
      <c r="D171" s="372">
        <v>4</v>
      </c>
      <c r="E171" s="371" t="s">
        <v>299</v>
      </c>
      <c r="F171" s="371" t="s">
        <v>75</v>
      </c>
      <c r="G171" s="371" t="s">
        <v>217</v>
      </c>
      <c r="H171" s="371" t="s">
        <v>774</v>
      </c>
      <c r="I171" s="371" t="s">
        <v>316</v>
      </c>
      <c r="J171" s="371" t="s">
        <v>300</v>
      </c>
      <c r="K171" s="373" t="str">
        <f>IF(O171="Zauberspruch",L171,O171)</f>
        <v>Zauberrune</v>
      </c>
      <c r="L171" s="373" t="s">
        <v>148</v>
      </c>
      <c r="M171" s="374" t="s">
        <v>319</v>
      </c>
      <c r="N171" s="374" t="s">
        <v>319</v>
      </c>
      <c r="O171" s="404" t="s">
        <v>1601</v>
      </c>
      <c r="P171" s="368" t="s">
        <v>1714</v>
      </c>
      <c r="Q171" s="367" t="s">
        <v>1321</v>
      </c>
      <c r="R171" s="367">
        <v>70</v>
      </c>
    </row>
    <row r="172" spans="1:18" ht="20.100000000000001" customHeight="1" x14ac:dyDescent="0.2">
      <c r="A172" s="377" t="s">
        <v>441</v>
      </c>
      <c r="B172" s="371" t="s">
        <v>220</v>
      </c>
      <c r="C172" s="371">
        <v>6</v>
      </c>
      <c r="D172" s="371">
        <v>4</v>
      </c>
      <c r="E172" s="371" t="s">
        <v>311</v>
      </c>
      <c r="F172" s="371" t="s">
        <v>359</v>
      </c>
      <c r="G172" s="371" t="s">
        <v>217</v>
      </c>
      <c r="H172" s="371" t="s">
        <v>374</v>
      </c>
      <c r="I172" s="371" t="s">
        <v>325</v>
      </c>
      <c r="J172" s="371" t="s">
        <v>307</v>
      </c>
      <c r="K172" s="373" t="str">
        <f>IF(O172="Zauberspruch",L172,O172)</f>
        <v>Dweomer</v>
      </c>
      <c r="L172" s="373" t="s">
        <v>145</v>
      </c>
      <c r="M172" s="373" t="s">
        <v>301</v>
      </c>
      <c r="N172" s="373" t="s">
        <v>301</v>
      </c>
      <c r="O172" s="376" t="s">
        <v>146</v>
      </c>
      <c r="P172" s="394" t="s">
        <v>405</v>
      </c>
      <c r="Q172" s="367" t="s">
        <v>748</v>
      </c>
      <c r="R172" s="367">
        <v>152</v>
      </c>
    </row>
    <row r="173" spans="1:18" ht="20.100000000000001" customHeight="1" x14ac:dyDescent="0.2">
      <c r="A173" s="377" t="s">
        <v>442</v>
      </c>
      <c r="B173" s="371" t="s">
        <v>220</v>
      </c>
      <c r="C173" s="371">
        <v>1</v>
      </c>
      <c r="D173" s="372">
        <v>1</v>
      </c>
      <c r="E173" s="371" t="s">
        <v>304</v>
      </c>
      <c r="F173" s="371" t="s">
        <v>332</v>
      </c>
      <c r="G173" s="371" t="s">
        <v>217</v>
      </c>
      <c r="H173" s="371" t="s">
        <v>791</v>
      </c>
      <c r="I173" s="371" t="s">
        <v>325</v>
      </c>
      <c r="J173" s="371" t="s">
        <v>328</v>
      </c>
      <c r="K173" s="373" t="str">
        <f>IF(O173="Zauberspruch",L173,O173)</f>
        <v>Erschaffen</v>
      </c>
      <c r="L173" s="373" t="s">
        <v>145</v>
      </c>
      <c r="M173" s="374" t="s">
        <v>308</v>
      </c>
      <c r="N173" s="374" t="s">
        <v>308</v>
      </c>
      <c r="O173" s="373" t="s">
        <v>166</v>
      </c>
      <c r="P173" s="368" t="s">
        <v>75</v>
      </c>
      <c r="Q173" s="367" t="s">
        <v>748</v>
      </c>
      <c r="R173" s="367">
        <v>81</v>
      </c>
    </row>
    <row r="174" spans="1:18" ht="20.100000000000001" customHeight="1" x14ac:dyDescent="0.2">
      <c r="A174" s="377" t="s">
        <v>1480</v>
      </c>
      <c r="B174" s="371" t="s">
        <v>220</v>
      </c>
      <c r="C174" s="371">
        <v>1</v>
      </c>
      <c r="D174" s="372">
        <v>1</v>
      </c>
      <c r="E174" s="371" t="s">
        <v>304</v>
      </c>
      <c r="F174" s="371" t="s">
        <v>332</v>
      </c>
      <c r="G174" s="371" t="s">
        <v>217</v>
      </c>
      <c r="H174" s="371" t="s">
        <v>777</v>
      </c>
      <c r="I174" s="371" t="s">
        <v>318</v>
      </c>
      <c r="J174" s="371" t="s">
        <v>328</v>
      </c>
      <c r="K174" s="373" t="str">
        <f>IF(O174="Zauberspruch",L174,O174)</f>
        <v>Runenstab</v>
      </c>
      <c r="L174" s="373" t="s">
        <v>145</v>
      </c>
      <c r="M174" s="374" t="s">
        <v>308</v>
      </c>
      <c r="N174" s="374" t="s">
        <v>308</v>
      </c>
      <c r="O174" s="404" t="s">
        <v>1472</v>
      </c>
      <c r="P174" s="368" t="s">
        <v>75</v>
      </c>
      <c r="Q174" s="367" t="s">
        <v>1321</v>
      </c>
      <c r="R174" s="367">
        <v>51</v>
      </c>
    </row>
    <row r="175" spans="1:18" ht="20.100000000000001" customHeight="1" x14ac:dyDescent="0.2">
      <c r="A175" s="377" t="s">
        <v>443</v>
      </c>
      <c r="B175" s="371" t="s">
        <v>220</v>
      </c>
      <c r="C175" s="371">
        <v>3</v>
      </c>
      <c r="D175" s="372">
        <v>2</v>
      </c>
      <c r="E175" s="371" t="s">
        <v>311</v>
      </c>
      <c r="F175" s="371" t="s">
        <v>359</v>
      </c>
      <c r="G175" s="371" t="s">
        <v>217</v>
      </c>
      <c r="H175" s="371" t="s">
        <v>777</v>
      </c>
      <c r="I175" s="371" t="s">
        <v>325</v>
      </c>
      <c r="J175" s="371" t="s">
        <v>328</v>
      </c>
      <c r="K175" s="373" t="str">
        <f>IF(O175="Zauberspruch",L175,O175)</f>
        <v>Erschaffen</v>
      </c>
      <c r="L175" s="373" t="s">
        <v>145</v>
      </c>
      <c r="M175" s="374" t="s">
        <v>308</v>
      </c>
      <c r="N175" s="374" t="s">
        <v>308</v>
      </c>
      <c r="O175" s="373" t="s">
        <v>166</v>
      </c>
      <c r="P175" s="368" t="s">
        <v>444</v>
      </c>
      <c r="Q175" s="367" t="s">
        <v>748</v>
      </c>
      <c r="R175" s="367">
        <v>81</v>
      </c>
    </row>
    <row r="176" spans="1:18" ht="20.100000000000001" customHeight="1" x14ac:dyDescent="0.2">
      <c r="A176" s="377" t="s">
        <v>1481</v>
      </c>
      <c r="B176" s="371" t="s">
        <v>220</v>
      </c>
      <c r="C176" s="371">
        <v>3</v>
      </c>
      <c r="D176" s="372">
        <v>2</v>
      </c>
      <c r="E176" s="371" t="s">
        <v>304</v>
      </c>
      <c r="F176" s="371" t="s">
        <v>359</v>
      </c>
      <c r="G176" s="371" t="s">
        <v>217</v>
      </c>
      <c r="H176" s="371" t="s">
        <v>777</v>
      </c>
      <c r="I176" s="371" t="s">
        <v>325</v>
      </c>
      <c r="J176" s="371" t="s">
        <v>328</v>
      </c>
      <c r="K176" s="373" t="str">
        <f>IF(O176="Zauberspruch",L176,O176)</f>
        <v>Runenstab</v>
      </c>
      <c r="L176" s="373" t="s">
        <v>145</v>
      </c>
      <c r="M176" s="374" t="s">
        <v>308</v>
      </c>
      <c r="N176" s="374" t="s">
        <v>308</v>
      </c>
      <c r="O176" s="404" t="s">
        <v>1472</v>
      </c>
      <c r="P176" s="368" t="s">
        <v>75</v>
      </c>
      <c r="Q176" s="367" t="s">
        <v>1321</v>
      </c>
      <c r="R176" s="367">
        <v>51</v>
      </c>
    </row>
    <row r="177" spans="1:18" ht="20.100000000000001" customHeight="1" x14ac:dyDescent="0.2">
      <c r="A177" s="377" t="s">
        <v>445</v>
      </c>
      <c r="B177" s="371" t="s">
        <v>220</v>
      </c>
      <c r="C177" s="371">
        <v>6</v>
      </c>
      <c r="D177" s="372">
        <v>3</v>
      </c>
      <c r="E177" s="371" t="s">
        <v>311</v>
      </c>
      <c r="F177" s="371" t="s">
        <v>359</v>
      </c>
      <c r="G177" s="371" t="s">
        <v>217</v>
      </c>
      <c r="H177" s="371" t="s">
        <v>374</v>
      </c>
      <c r="I177" s="371">
        <v>0</v>
      </c>
      <c r="J177" s="371" t="s">
        <v>328</v>
      </c>
      <c r="K177" s="373" t="str">
        <f>IF(O177="Zauberspruch",L177,O177)</f>
        <v>Erschaffen</v>
      </c>
      <c r="L177" s="373" t="s">
        <v>145</v>
      </c>
      <c r="M177" s="374" t="s">
        <v>308</v>
      </c>
      <c r="N177" s="374" t="s">
        <v>308</v>
      </c>
      <c r="O177" s="373" t="s">
        <v>166</v>
      </c>
      <c r="P177" s="368" t="s">
        <v>446</v>
      </c>
      <c r="Q177" s="367" t="s">
        <v>748</v>
      </c>
      <c r="R177" s="367">
        <v>82</v>
      </c>
    </row>
    <row r="178" spans="1:18" ht="20.100000000000001" customHeight="1" x14ac:dyDescent="0.2">
      <c r="A178" s="377" t="s">
        <v>1482</v>
      </c>
      <c r="B178" s="371" t="s">
        <v>220</v>
      </c>
      <c r="C178" s="371">
        <v>6</v>
      </c>
      <c r="D178" s="372">
        <v>3</v>
      </c>
      <c r="E178" s="371" t="s">
        <v>304</v>
      </c>
      <c r="F178" s="371" t="s">
        <v>359</v>
      </c>
      <c r="G178" s="371" t="s">
        <v>217</v>
      </c>
      <c r="H178" s="371" t="s">
        <v>374</v>
      </c>
      <c r="I178" s="371">
        <v>0</v>
      </c>
      <c r="J178" s="371" t="s">
        <v>328</v>
      </c>
      <c r="K178" s="373" t="str">
        <f>IF(O178="Zauberspruch",L178,O178)</f>
        <v>Runenstab</v>
      </c>
      <c r="L178" s="373" t="s">
        <v>145</v>
      </c>
      <c r="M178" s="374" t="s">
        <v>308</v>
      </c>
      <c r="N178" s="374" t="s">
        <v>308</v>
      </c>
      <c r="O178" s="404" t="s">
        <v>1472</v>
      </c>
      <c r="P178" s="368" t="s">
        <v>75</v>
      </c>
      <c r="Q178" s="367" t="s">
        <v>1321</v>
      </c>
      <c r="R178" s="367">
        <v>51</v>
      </c>
    </row>
    <row r="179" spans="1:18" ht="20.100000000000001" customHeight="1" x14ac:dyDescent="0.2">
      <c r="A179" s="377" t="s">
        <v>447</v>
      </c>
      <c r="B179" s="371" t="s">
        <v>218</v>
      </c>
      <c r="C179" s="371">
        <v>5</v>
      </c>
      <c r="D179" s="372">
        <v>3</v>
      </c>
      <c r="E179" s="371" t="s">
        <v>311</v>
      </c>
      <c r="F179" s="371" t="s">
        <v>75</v>
      </c>
      <c r="G179" s="371" t="s">
        <v>216</v>
      </c>
      <c r="H179" s="371" t="s">
        <v>770</v>
      </c>
      <c r="I179" s="371" t="s">
        <v>306</v>
      </c>
      <c r="J179" s="371" t="s">
        <v>328</v>
      </c>
      <c r="K179" s="373" t="str">
        <f>IF(O179="Zauberspruch",L179,O179)</f>
        <v>Verändern</v>
      </c>
      <c r="L179" s="373" t="s">
        <v>138</v>
      </c>
      <c r="M179" s="374" t="s">
        <v>302</v>
      </c>
      <c r="N179" s="374" t="s">
        <v>302</v>
      </c>
      <c r="O179" s="373" t="s">
        <v>166</v>
      </c>
      <c r="P179" s="368" t="s">
        <v>75</v>
      </c>
      <c r="Q179" s="367" t="s">
        <v>748</v>
      </c>
      <c r="R179" s="367">
        <v>82</v>
      </c>
    </row>
    <row r="180" spans="1:18" ht="20.100000000000001" customHeight="1" x14ac:dyDescent="0.2">
      <c r="A180" s="377" t="s">
        <v>1515</v>
      </c>
      <c r="B180" s="371" t="s">
        <v>219</v>
      </c>
      <c r="C180" s="371">
        <v>5</v>
      </c>
      <c r="D180" s="372">
        <v>3</v>
      </c>
      <c r="E180" s="371" t="s">
        <v>304</v>
      </c>
      <c r="F180" s="371" t="s">
        <v>75</v>
      </c>
      <c r="G180" s="371" t="s">
        <v>216</v>
      </c>
      <c r="H180" s="371" t="s">
        <v>770</v>
      </c>
      <c r="I180" s="371" t="s">
        <v>306</v>
      </c>
      <c r="J180" s="371" t="s">
        <v>328</v>
      </c>
      <c r="K180" s="373" t="str">
        <f>IF(O180="Zauberspruch",L180,O180)</f>
        <v>Zaubersiegel</v>
      </c>
      <c r="L180" s="373" t="s">
        <v>138</v>
      </c>
      <c r="M180" s="374" t="s">
        <v>302</v>
      </c>
      <c r="N180" s="374" t="s">
        <v>302</v>
      </c>
      <c r="O180" s="404" t="s">
        <v>1322</v>
      </c>
      <c r="P180" s="368" t="s">
        <v>1516</v>
      </c>
      <c r="Q180" s="367" t="s">
        <v>1321</v>
      </c>
      <c r="R180" s="367">
        <v>56</v>
      </c>
    </row>
    <row r="181" spans="1:18" ht="20.100000000000001" customHeight="1" x14ac:dyDescent="0.2">
      <c r="A181" s="377" t="s">
        <v>448</v>
      </c>
      <c r="B181" s="371" t="s">
        <v>449</v>
      </c>
      <c r="C181" s="371">
        <v>9</v>
      </c>
      <c r="D181" s="372">
        <v>6</v>
      </c>
      <c r="E181" s="371" t="s">
        <v>354</v>
      </c>
      <c r="F181" s="371" t="s">
        <v>305</v>
      </c>
      <c r="G181" s="371" t="s">
        <v>217</v>
      </c>
      <c r="H181" s="371" t="s">
        <v>782</v>
      </c>
      <c r="I181" s="371" t="s">
        <v>318</v>
      </c>
      <c r="J181" s="371" t="s">
        <v>328</v>
      </c>
      <c r="K181" s="373" t="str">
        <f>IF(O181="Zauberspruch",L181,O181)</f>
        <v>Formen</v>
      </c>
      <c r="L181" s="373" t="s">
        <v>148</v>
      </c>
      <c r="M181" s="374" t="s">
        <v>308</v>
      </c>
      <c r="N181" s="374" t="s">
        <v>308</v>
      </c>
      <c r="O181" s="373" t="s">
        <v>166</v>
      </c>
      <c r="P181" s="368" t="s">
        <v>450</v>
      </c>
      <c r="Q181" s="367" t="s">
        <v>748</v>
      </c>
      <c r="R181" s="367">
        <v>82</v>
      </c>
    </row>
    <row r="182" spans="1:18" ht="20.100000000000001" customHeight="1" x14ac:dyDescent="0.2">
      <c r="A182" s="377" t="s">
        <v>451</v>
      </c>
      <c r="B182" s="371" t="s">
        <v>220</v>
      </c>
      <c r="C182" s="371">
        <v>12</v>
      </c>
      <c r="D182" s="372">
        <v>18</v>
      </c>
      <c r="E182" s="371" t="s">
        <v>324</v>
      </c>
      <c r="F182" s="371" t="s">
        <v>452</v>
      </c>
      <c r="G182" s="371" t="s">
        <v>217</v>
      </c>
      <c r="H182" s="371" t="s">
        <v>783</v>
      </c>
      <c r="I182" s="371" t="s">
        <v>453</v>
      </c>
      <c r="J182" s="371" t="s">
        <v>328</v>
      </c>
      <c r="K182" s="373" t="str">
        <f>IF(O182="Zauberspruch",L182,O182)</f>
        <v>Erschaffen</v>
      </c>
      <c r="L182" s="373" t="s">
        <v>145</v>
      </c>
      <c r="M182" s="374" t="s">
        <v>308</v>
      </c>
      <c r="N182" s="374" t="s">
        <v>308</v>
      </c>
      <c r="O182" s="373" t="s">
        <v>166</v>
      </c>
      <c r="P182" s="368" t="s">
        <v>454</v>
      </c>
      <c r="Q182" s="367" t="s">
        <v>748</v>
      </c>
      <c r="R182" s="367">
        <v>83</v>
      </c>
    </row>
    <row r="183" spans="1:18" ht="20.100000000000001" customHeight="1" x14ac:dyDescent="0.2">
      <c r="A183" s="377" t="s">
        <v>455</v>
      </c>
      <c r="B183" s="371" t="s">
        <v>220</v>
      </c>
      <c r="C183" s="371">
        <v>8</v>
      </c>
      <c r="D183" s="372">
        <v>4</v>
      </c>
      <c r="E183" s="371" t="s">
        <v>354</v>
      </c>
      <c r="F183" s="371" t="s">
        <v>332</v>
      </c>
      <c r="G183" s="371" t="s">
        <v>217</v>
      </c>
      <c r="H183" s="371" t="s">
        <v>780</v>
      </c>
      <c r="I183" s="371" t="s">
        <v>299</v>
      </c>
      <c r="J183" s="371" t="s">
        <v>328</v>
      </c>
      <c r="K183" s="373" t="str">
        <f>IF(O183="Zauberspruch",L183,O183)</f>
        <v>Erschaffen</v>
      </c>
      <c r="L183" s="373" t="s">
        <v>145</v>
      </c>
      <c r="M183" s="374" t="s">
        <v>308</v>
      </c>
      <c r="N183" s="374" t="s">
        <v>308</v>
      </c>
      <c r="O183" s="373" t="s">
        <v>166</v>
      </c>
      <c r="P183" s="368" t="s">
        <v>456</v>
      </c>
      <c r="Q183" s="367" t="s">
        <v>748</v>
      </c>
      <c r="R183" s="367">
        <v>83</v>
      </c>
    </row>
    <row r="184" spans="1:18" ht="20.100000000000001" customHeight="1" x14ac:dyDescent="0.2">
      <c r="A184" s="377" t="s">
        <v>1517</v>
      </c>
      <c r="B184" s="371" t="s">
        <v>219</v>
      </c>
      <c r="C184" s="371">
        <v>8</v>
      </c>
      <c r="D184" s="372">
        <v>4</v>
      </c>
      <c r="E184" s="371" t="s">
        <v>304</v>
      </c>
      <c r="F184" s="371" t="s">
        <v>321</v>
      </c>
      <c r="G184" s="371" t="s">
        <v>217</v>
      </c>
      <c r="H184" s="371" t="s">
        <v>780</v>
      </c>
      <c r="I184" s="371" t="s">
        <v>299</v>
      </c>
      <c r="J184" s="371" t="s">
        <v>328</v>
      </c>
      <c r="K184" s="373" t="str">
        <f>IF(O184="Zauberspruch",L184,O184)</f>
        <v>Zaubersiegel</v>
      </c>
      <c r="L184" s="373" t="s">
        <v>145</v>
      </c>
      <c r="M184" s="374" t="s">
        <v>308</v>
      </c>
      <c r="N184" s="374" t="s">
        <v>308</v>
      </c>
      <c r="O184" s="404" t="s">
        <v>1322</v>
      </c>
      <c r="P184" s="368" t="s">
        <v>1506</v>
      </c>
      <c r="Q184" s="367" t="s">
        <v>1321</v>
      </c>
      <c r="R184" s="367">
        <v>57</v>
      </c>
    </row>
    <row r="185" spans="1:18" ht="20.100000000000001" customHeight="1" x14ac:dyDescent="0.2">
      <c r="A185" s="377" t="s">
        <v>457</v>
      </c>
      <c r="B185" s="371" t="s">
        <v>220</v>
      </c>
      <c r="C185" s="371">
        <v>6</v>
      </c>
      <c r="D185" s="372">
        <v>3</v>
      </c>
      <c r="E185" s="371" t="s">
        <v>311</v>
      </c>
      <c r="F185" s="371" t="s">
        <v>321</v>
      </c>
      <c r="G185" s="371" t="s">
        <v>217</v>
      </c>
      <c r="H185" s="371" t="s">
        <v>75</v>
      </c>
      <c r="I185" s="371" t="s">
        <v>318</v>
      </c>
      <c r="J185" s="371" t="s">
        <v>328</v>
      </c>
      <c r="K185" s="373" t="str">
        <f>IF(O185="Zauberspruch",L185,O185)</f>
        <v>Erschaffen</v>
      </c>
      <c r="L185" s="373" t="s">
        <v>145</v>
      </c>
      <c r="M185" s="374" t="s">
        <v>329</v>
      </c>
      <c r="N185" s="374" t="s">
        <v>329</v>
      </c>
      <c r="O185" s="373" t="s">
        <v>166</v>
      </c>
      <c r="P185" s="368" t="s">
        <v>458</v>
      </c>
      <c r="Q185" s="367" t="s">
        <v>748</v>
      </c>
      <c r="R185" s="367">
        <v>83</v>
      </c>
    </row>
    <row r="186" spans="1:18" ht="20.100000000000001" customHeight="1" x14ac:dyDescent="0.2">
      <c r="A186" s="377" t="s">
        <v>1518</v>
      </c>
      <c r="B186" s="371" t="s">
        <v>219</v>
      </c>
      <c r="C186" s="371">
        <v>6</v>
      </c>
      <c r="D186" s="372">
        <v>3</v>
      </c>
      <c r="E186" s="371" t="s">
        <v>304</v>
      </c>
      <c r="F186" s="371" t="s">
        <v>321</v>
      </c>
      <c r="G186" s="371" t="s">
        <v>217</v>
      </c>
      <c r="H186" s="371" t="s">
        <v>75</v>
      </c>
      <c r="I186" s="371" t="s">
        <v>318</v>
      </c>
      <c r="J186" s="371" t="s">
        <v>328</v>
      </c>
      <c r="K186" s="373" t="str">
        <f>IF(O186="Zauberspruch",L186,O186)</f>
        <v>Zaubersiegel</v>
      </c>
      <c r="L186" s="373" t="s">
        <v>145</v>
      </c>
      <c r="M186" s="374" t="s">
        <v>329</v>
      </c>
      <c r="N186" s="374" t="s">
        <v>329</v>
      </c>
      <c r="O186" s="404" t="s">
        <v>1322</v>
      </c>
      <c r="P186" s="368" t="s">
        <v>1506</v>
      </c>
      <c r="Q186" s="367" t="s">
        <v>1321</v>
      </c>
      <c r="R186" s="367">
        <v>57</v>
      </c>
    </row>
    <row r="187" spans="1:18" ht="20.100000000000001" customHeight="1" x14ac:dyDescent="0.2">
      <c r="A187" s="377" t="s">
        <v>459</v>
      </c>
      <c r="B187" s="371" t="s">
        <v>220</v>
      </c>
      <c r="C187" s="371">
        <v>4</v>
      </c>
      <c r="D187" s="372" t="s">
        <v>753</v>
      </c>
      <c r="E187" s="371" t="s">
        <v>311</v>
      </c>
      <c r="F187" s="371" t="s">
        <v>321</v>
      </c>
      <c r="G187" s="371" t="s">
        <v>217</v>
      </c>
      <c r="H187" s="371" t="s">
        <v>75</v>
      </c>
      <c r="I187" s="371" t="s">
        <v>306</v>
      </c>
      <c r="J187" s="371" t="s">
        <v>328</v>
      </c>
      <c r="K187" s="373" t="str">
        <f>IF(O187="Zauberspruch",L187,O187)</f>
        <v>Erschaffen</v>
      </c>
      <c r="L187" s="373" t="s">
        <v>145</v>
      </c>
      <c r="M187" s="374" t="s">
        <v>308</v>
      </c>
      <c r="N187" s="374" t="s">
        <v>308</v>
      </c>
      <c r="O187" s="373" t="s">
        <v>166</v>
      </c>
      <c r="P187" s="368" t="s">
        <v>460</v>
      </c>
      <c r="Q187" s="367" t="s">
        <v>748</v>
      </c>
      <c r="R187" s="367">
        <v>84</v>
      </c>
    </row>
    <row r="188" spans="1:18" ht="20.100000000000001" customHeight="1" x14ac:dyDescent="0.2">
      <c r="A188" s="377" t="s">
        <v>1414</v>
      </c>
      <c r="B188" s="371" t="s">
        <v>220</v>
      </c>
      <c r="C188" s="371">
        <v>1</v>
      </c>
      <c r="D188" s="372">
        <v>1</v>
      </c>
      <c r="E188" s="371" t="s">
        <v>484</v>
      </c>
      <c r="F188" s="371" t="s">
        <v>332</v>
      </c>
      <c r="G188" s="371" t="s">
        <v>217</v>
      </c>
      <c r="H188" s="371" t="s">
        <v>1415</v>
      </c>
      <c r="I188" s="371">
        <v>0</v>
      </c>
      <c r="J188" s="371" t="s">
        <v>313</v>
      </c>
      <c r="K188" s="373" t="str">
        <f>IF(O188="Zauberspruch",L188,O188)</f>
        <v>Thaumatherapie</v>
      </c>
      <c r="L188" s="373" t="s">
        <v>141</v>
      </c>
      <c r="M188" s="374" t="s">
        <v>322</v>
      </c>
      <c r="N188" s="374" t="s">
        <v>329</v>
      </c>
      <c r="O188" s="404" t="s">
        <v>1340</v>
      </c>
      <c r="P188" s="368" t="s">
        <v>75</v>
      </c>
      <c r="Q188" s="367" t="s">
        <v>1321</v>
      </c>
      <c r="R188" s="367">
        <v>85</v>
      </c>
    </row>
    <row r="189" spans="1:18" ht="20.100000000000001" customHeight="1" x14ac:dyDescent="0.2">
      <c r="A189" s="377" t="s">
        <v>1652</v>
      </c>
      <c r="B189" s="371" t="s">
        <v>220</v>
      </c>
      <c r="C189" s="371">
        <v>4</v>
      </c>
      <c r="D189" s="372">
        <v>4</v>
      </c>
      <c r="E189" s="371" t="s">
        <v>299</v>
      </c>
      <c r="F189" s="371" t="s">
        <v>332</v>
      </c>
      <c r="G189" s="371" t="s">
        <v>217</v>
      </c>
      <c r="H189" s="371" t="s">
        <v>774</v>
      </c>
      <c r="I189" s="371" t="s">
        <v>369</v>
      </c>
      <c r="J189" s="371" t="s">
        <v>313</v>
      </c>
      <c r="K189" s="373" t="str">
        <f>IF(O189="Zauberspruch",L189,O189)</f>
        <v>Erhaltung</v>
      </c>
      <c r="L189" s="373" t="s">
        <v>148</v>
      </c>
      <c r="M189" s="374" t="s">
        <v>322</v>
      </c>
      <c r="N189" s="374" t="s">
        <v>322</v>
      </c>
      <c r="O189" s="404" t="s">
        <v>1650</v>
      </c>
      <c r="P189" s="368" t="s">
        <v>75</v>
      </c>
      <c r="Q189" s="367" t="s">
        <v>1321</v>
      </c>
      <c r="R189" s="367">
        <v>127</v>
      </c>
    </row>
    <row r="190" spans="1:18" ht="20.100000000000001" customHeight="1" x14ac:dyDescent="0.2">
      <c r="A190" s="377" t="s">
        <v>461</v>
      </c>
      <c r="B190" s="371" t="s">
        <v>449</v>
      </c>
      <c r="C190" s="371">
        <v>3</v>
      </c>
      <c r="D190" s="372">
        <v>2</v>
      </c>
      <c r="E190" s="371" t="s">
        <v>311</v>
      </c>
      <c r="F190" s="371" t="s">
        <v>332</v>
      </c>
      <c r="G190" s="371" t="s">
        <v>217</v>
      </c>
      <c r="H190" s="371" t="s">
        <v>791</v>
      </c>
      <c r="I190" s="371" t="s">
        <v>318</v>
      </c>
      <c r="J190" s="371" t="s">
        <v>328</v>
      </c>
      <c r="K190" s="373" t="str">
        <f>IF(O190="Zauberspruch",L190,O190)</f>
        <v>Erschaffen</v>
      </c>
      <c r="L190" s="373" t="s">
        <v>145</v>
      </c>
      <c r="M190" s="374" t="s">
        <v>308</v>
      </c>
      <c r="N190" s="374" t="s">
        <v>308</v>
      </c>
      <c r="O190" s="373" t="s">
        <v>166</v>
      </c>
      <c r="P190" s="368" t="s">
        <v>75</v>
      </c>
      <c r="Q190" s="367" t="s">
        <v>748</v>
      </c>
      <c r="R190" s="367">
        <v>84</v>
      </c>
    </row>
    <row r="191" spans="1:18" ht="20.100000000000001" customHeight="1" x14ac:dyDescent="0.2">
      <c r="A191" s="377" t="s">
        <v>1519</v>
      </c>
      <c r="B191" s="371" t="s">
        <v>219</v>
      </c>
      <c r="C191" s="371">
        <v>4</v>
      </c>
      <c r="D191" s="372">
        <v>3</v>
      </c>
      <c r="E191" s="371" t="s">
        <v>304</v>
      </c>
      <c r="F191" s="371" t="s">
        <v>332</v>
      </c>
      <c r="G191" s="371" t="s">
        <v>217</v>
      </c>
      <c r="H191" s="371" t="s">
        <v>770</v>
      </c>
      <c r="I191" s="371" t="s">
        <v>318</v>
      </c>
      <c r="J191" s="371" t="s">
        <v>328</v>
      </c>
      <c r="K191" s="373" t="str">
        <f>IF(O191="Zauberspruch",L191,O191)</f>
        <v>Zaubersiegel</v>
      </c>
      <c r="L191" s="373" t="s">
        <v>145</v>
      </c>
      <c r="M191" s="374" t="s">
        <v>308</v>
      </c>
      <c r="N191" s="374" t="s">
        <v>308</v>
      </c>
      <c r="O191" s="404" t="s">
        <v>1322</v>
      </c>
      <c r="P191" s="368" t="s">
        <v>1520</v>
      </c>
      <c r="Q191" s="367" t="s">
        <v>1321</v>
      </c>
      <c r="R191" s="367">
        <v>57</v>
      </c>
    </row>
    <row r="192" spans="1:18" ht="20.100000000000001" customHeight="1" x14ac:dyDescent="0.2">
      <c r="A192" s="377" t="s">
        <v>462</v>
      </c>
      <c r="B192" s="371" t="s">
        <v>220</v>
      </c>
      <c r="C192" s="371">
        <v>6</v>
      </c>
      <c r="D192" s="372">
        <v>4</v>
      </c>
      <c r="E192" s="371" t="s">
        <v>347</v>
      </c>
      <c r="F192" s="371" t="s">
        <v>25</v>
      </c>
      <c r="G192" s="371" t="s">
        <v>217</v>
      </c>
      <c r="H192" s="371" t="s">
        <v>774</v>
      </c>
      <c r="I192" s="371" t="s">
        <v>306</v>
      </c>
      <c r="J192" s="371" t="s">
        <v>328</v>
      </c>
      <c r="K192" s="373" t="str">
        <f>IF(O192="Zauberspruch",L192,O192)</f>
        <v>Formen</v>
      </c>
      <c r="L192" s="373" t="s">
        <v>148</v>
      </c>
      <c r="M192" s="374" t="s">
        <v>308</v>
      </c>
      <c r="N192" s="374" t="s">
        <v>319</v>
      </c>
      <c r="O192" s="373" t="s">
        <v>166</v>
      </c>
      <c r="P192" s="368" t="s">
        <v>1194</v>
      </c>
      <c r="Q192" s="367" t="s">
        <v>748</v>
      </c>
      <c r="R192" s="367">
        <v>85</v>
      </c>
    </row>
    <row r="193" spans="1:18" ht="20.100000000000001" customHeight="1" x14ac:dyDescent="0.2">
      <c r="A193" s="377" t="s">
        <v>1521</v>
      </c>
      <c r="B193" s="371" t="s">
        <v>219</v>
      </c>
      <c r="C193" s="371">
        <v>6</v>
      </c>
      <c r="D193" s="372">
        <v>4</v>
      </c>
      <c r="E193" s="371" t="s">
        <v>304</v>
      </c>
      <c r="F193" s="371" t="s">
        <v>25</v>
      </c>
      <c r="G193" s="371" t="s">
        <v>217</v>
      </c>
      <c r="H193" s="371" t="s">
        <v>774</v>
      </c>
      <c r="I193" s="371" t="s">
        <v>306</v>
      </c>
      <c r="J193" s="371" t="s">
        <v>328</v>
      </c>
      <c r="K193" s="373" t="str">
        <f>IF(O193="Zauberspruch",L193,O193)</f>
        <v>Zaubersiegel</v>
      </c>
      <c r="L193" s="373" t="s">
        <v>148</v>
      </c>
      <c r="M193" s="374" t="s">
        <v>308</v>
      </c>
      <c r="N193" s="374" t="s">
        <v>319</v>
      </c>
      <c r="O193" s="404" t="s">
        <v>1322</v>
      </c>
      <c r="P193" s="368" t="s">
        <v>1522</v>
      </c>
      <c r="Q193" s="367" t="s">
        <v>1321</v>
      </c>
      <c r="R193" s="367">
        <v>57</v>
      </c>
    </row>
    <row r="194" spans="1:18" ht="20.100000000000001" customHeight="1" x14ac:dyDescent="0.2">
      <c r="A194" s="377" t="s">
        <v>463</v>
      </c>
      <c r="B194" s="371" t="s">
        <v>220</v>
      </c>
      <c r="C194" s="371">
        <v>2</v>
      </c>
      <c r="D194" s="372">
        <v>1</v>
      </c>
      <c r="E194" s="371" t="s">
        <v>304</v>
      </c>
      <c r="F194" s="371" t="s">
        <v>25</v>
      </c>
      <c r="G194" s="371" t="s">
        <v>217</v>
      </c>
      <c r="H194" s="371" t="s">
        <v>770</v>
      </c>
      <c r="I194" s="371" t="s">
        <v>318</v>
      </c>
      <c r="J194" s="371" t="s">
        <v>307</v>
      </c>
      <c r="K194" s="373" t="str">
        <f>IF(O194="Zauberspruch",L194,O194)</f>
        <v>Erschaffen</v>
      </c>
      <c r="L194" s="373" t="s">
        <v>145</v>
      </c>
      <c r="M194" s="374" t="s">
        <v>301</v>
      </c>
      <c r="N194" s="374" t="s">
        <v>301</v>
      </c>
      <c r="O194" s="373" t="s">
        <v>166</v>
      </c>
      <c r="P194" s="368" t="s">
        <v>464</v>
      </c>
      <c r="Q194" s="367" t="s">
        <v>748</v>
      </c>
      <c r="R194" s="367">
        <v>85</v>
      </c>
    </row>
    <row r="195" spans="1:18" ht="20.100000000000001" customHeight="1" x14ac:dyDescent="0.2">
      <c r="A195" s="377" t="s">
        <v>1523</v>
      </c>
      <c r="B195" s="371" t="s">
        <v>219</v>
      </c>
      <c r="C195" s="371">
        <v>2</v>
      </c>
      <c r="D195" s="372">
        <v>1</v>
      </c>
      <c r="E195" s="371" t="s">
        <v>304</v>
      </c>
      <c r="F195" s="371" t="s">
        <v>25</v>
      </c>
      <c r="G195" s="371" t="s">
        <v>217</v>
      </c>
      <c r="H195" s="371" t="s">
        <v>770</v>
      </c>
      <c r="I195" s="371" t="s">
        <v>318</v>
      </c>
      <c r="J195" s="371" t="s">
        <v>307</v>
      </c>
      <c r="K195" s="373" t="str">
        <f>IF(O195="Zauberspruch",L195,O195)</f>
        <v>Zaubersiegel</v>
      </c>
      <c r="L195" s="373" t="s">
        <v>145</v>
      </c>
      <c r="M195" s="374" t="s">
        <v>301</v>
      </c>
      <c r="N195" s="374" t="s">
        <v>301</v>
      </c>
      <c r="O195" s="404" t="s">
        <v>1322</v>
      </c>
      <c r="P195" s="368" t="s">
        <v>1524</v>
      </c>
      <c r="Q195" s="367" t="s">
        <v>1321</v>
      </c>
      <c r="R195" s="367">
        <v>57</v>
      </c>
    </row>
    <row r="196" spans="1:18" ht="20.100000000000001" customHeight="1" x14ac:dyDescent="0.2">
      <c r="A196" s="377" t="s">
        <v>1609</v>
      </c>
      <c r="B196" s="371" t="s">
        <v>220</v>
      </c>
      <c r="C196" s="371">
        <v>5</v>
      </c>
      <c r="D196" s="372">
        <v>3</v>
      </c>
      <c r="E196" s="371" t="s">
        <v>299</v>
      </c>
      <c r="F196" s="371" t="s">
        <v>417</v>
      </c>
      <c r="G196" s="371" t="s">
        <v>217</v>
      </c>
      <c r="H196" s="371" t="s">
        <v>775</v>
      </c>
      <c r="I196" s="371" t="s">
        <v>493</v>
      </c>
      <c r="J196" s="371" t="s">
        <v>300</v>
      </c>
      <c r="K196" s="373" t="str">
        <f>IF(O196="Zauberspruch",L196,O196)</f>
        <v>Zauberrune</v>
      </c>
      <c r="L196" s="373" t="s">
        <v>141</v>
      </c>
      <c r="M196" s="374" t="s">
        <v>309</v>
      </c>
      <c r="N196" s="374" t="s">
        <v>308</v>
      </c>
      <c r="O196" s="404" t="s">
        <v>1601</v>
      </c>
      <c r="P196" s="368" t="s">
        <v>1715</v>
      </c>
      <c r="Q196" s="367" t="s">
        <v>1321</v>
      </c>
      <c r="R196" s="367">
        <v>70</v>
      </c>
    </row>
    <row r="197" spans="1:18" ht="20.100000000000001" customHeight="1" x14ac:dyDescent="0.2">
      <c r="A197" s="377" t="s">
        <v>465</v>
      </c>
      <c r="B197" s="371" t="s">
        <v>220</v>
      </c>
      <c r="C197" s="371">
        <v>5</v>
      </c>
      <c r="D197" s="372" t="s">
        <v>754</v>
      </c>
      <c r="E197" s="371" t="s">
        <v>311</v>
      </c>
      <c r="F197" s="371" t="s">
        <v>359</v>
      </c>
      <c r="G197" s="371" t="s">
        <v>217</v>
      </c>
      <c r="H197" s="371" t="s">
        <v>795</v>
      </c>
      <c r="I197" s="371" t="s">
        <v>347</v>
      </c>
      <c r="J197" s="371" t="s">
        <v>328</v>
      </c>
      <c r="K197" s="373" t="str">
        <f>IF(O197="Zauberspruch",L197,O197)</f>
        <v>Erschaffen</v>
      </c>
      <c r="L197" s="373" t="s">
        <v>145</v>
      </c>
      <c r="M197" s="374" t="s">
        <v>308</v>
      </c>
      <c r="N197" s="374" t="s">
        <v>308</v>
      </c>
      <c r="O197" s="373" t="s">
        <v>166</v>
      </c>
      <c r="P197" s="368" t="s">
        <v>466</v>
      </c>
      <c r="Q197" s="367" t="s">
        <v>748</v>
      </c>
      <c r="R197" s="367">
        <v>85</v>
      </c>
    </row>
    <row r="198" spans="1:18" ht="20.100000000000001" customHeight="1" x14ac:dyDescent="0.2">
      <c r="A198" s="377" t="s">
        <v>467</v>
      </c>
      <c r="B198" s="371" t="s">
        <v>220</v>
      </c>
      <c r="C198" s="371">
        <v>1</v>
      </c>
      <c r="D198" s="372">
        <v>1</v>
      </c>
      <c r="E198" s="371" t="s">
        <v>311</v>
      </c>
      <c r="F198" s="371" t="s">
        <v>25</v>
      </c>
      <c r="G198" s="371" t="s">
        <v>217</v>
      </c>
      <c r="H198" s="371" t="s">
        <v>774</v>
      </c>
      <c r="I198" s="371" t="s">
        <v>306</v>
      </c>
      <c r="J198" s="371" t="s">
        <v>307</v>
      </c>
      <c r="K198" s="373" t="str">
        <f>IF(O198="Zauberspruch",L198,O198)</f>
        <v>Formen</v>
      </c>
      <c r="L198" s="373" t="s">
        <v>148</v>
      </c>
      <c r="M198" s="374" t="s">
        <v>322</v>
      </c>
      <c r="N198" s="374" t="s">
        <v>319</v>
      </c>
      <c r="O198" s="373" t="s">
        <v>166</v>
      </c>
      <c r="P198" s="368" t="s">
        <v>75</v>
      </c>
      <c r="Q198" s="367" t="s">
        <v>748</v>
      </c>
      <c r="R198" s="367">
        <v>85</v>
      </c>
    </row>
    <row r="199" spans="1:18" ht="20.100000000000001" customHeight="1" x14ac:dyDescent="0.2">
      <c r="A199" s="377" t="s">
        <v>468</v>
      </c>
      <c r="B199" s="371" t="s">
        <v>220</v>
      </c>
      <c r="C199" s="371">
        <v>11</v>
      </c>
      <c r="D199" s="372">
        <v>9</v>
      </c>
      <c r="E199" s="371" t="s">
        <v>324</v>
      </c>
      <c r="F199" s="371" t="s">
        <v>75</v>
      </c>
      <c r="G199" s="371" t="s">
        <v>216</v>
      </c>
      <c r="H199" s="371" t="s">
        <v>791</v>
      </c>
      <c r="I199" s="371" t="s">
        <v>469</v>
      </c>
      <c r="J199" s="371" t="s">
        <v>313</v>
      </c>
      <c r="K199" s="373" t="str">
        <f>IF(O199="Zauberspruch",L199,O199)</f>
        <v>Bewegen</v>
      </c>
      <c r="L199" s="373" t="s">
        <v>140</v>
      </c>
      <c r="M199" s="374" t="s">
        <v>314</v>
      </c>
      <c r="N199" s="374" t="s">
        <v>302</v>
      </c>
      <c r="O199" s="373" t="s">
        <v>166</v>
      </c>
      <c r="P199" s="368" t="s">
        <v>470</v>
      </c>
      <c r="Q199" s="367" t="s">
        <v>748</v>
      </c>
      <c r="R199" s="367">
        <v>86</v>
      </c>
    </row>
    <row r="200" spans="1:18" ht="20.100000000000001" customHeight="1" x14ac:dyDescent="0.2">
      <c r="A200" s="377" t="s">
        <v>1444</v>
      </c>
      <c r="B200" s="371" t="s">
        <v>218</v>
      </c>
      <c r="C200" s="371">
        <v>2</v>
      </c>
      <c r="D200" s="372">
        <v>1</v>
      </c>
      <c r="E200" s="371" t="s">
        <v>304</v>
      </c>
      <c r="F200" s="371" t="s">
        <v>472</v>
      </c>
      <c r="G200" s="371" t="s">
        <v>217</v>
      </c>
      <c r="H200" s="371" t="s">
        <v>775</v>
      </c>
      <c r="I200" s="371" t="s">
        <v>493</v>
      </c>
      <c r="J200" s="371" t="s">
        <v>313</v>
      </c>
      <c r="K200" s="373" t="str">
        <f>IF(O200="Zauberspruch",L200,O200)</f>
        <v>Zaubersalz</v>
      </c>
      <c r="L200" s="373" t="s">
        <v>148</v>
      </c>
      <c r="M200" s="374" t="s">
        <v>301</v>
      </c>
      <c r="N200" s="374" t="s">
        <v>314</v>
      </c>
      <c r="O200" s="404" t="s">
        <v>1439</v>
      </c>
      <c r="P200" s="368" t="s">
        <v>1706</v>
      </c>
      <c r="Q200" s="367" t="s">
        <v>1321</v>
      </c>
      <c r="R200" s="367">
        <v>46</v>
      </c>
    </row>
    <row r="201" spans="1:18" ht="20.100000000000001" customHeight="1" x14ac:dyDescent="0.2">
      <c r="A201" s="377" t="s">
        <v>1525</v>
      </c>
      <c r="B201" s="371" t="s">
        <v>219</v>
      </c>
      <c r="C201" s="371">
        <v>12</v>
      </c>
      <c r="D201" s="372">
        <v>10</v>
      </c>
      <c r="E201" s="371" t="s">
        <v>304</v>
      </c>
      <c r="F201" s="371" t="s">
        <v>25</v>
      </c>
      <c r="G201" s="371" t="s">
        <v>217</v>
      </c>
      <c r="H201" s="371" t="s">
        <v>774</v>
      </c>
      <c r="I201" s="371" t="s">
        <v>469</v>
      </c>
      <c r="J201" s="371" t="s">
        <v>313</v>
      </c>
      <c r="K201" s="373" t="str">
        <f>IF(O201="Zauberspruch",L201,O201)</f>
        <v>Zaubersiegel</v>
      </c>
      <c r="L201" s="373" t="s">
        <v>140</v>
      </c>
      <c r="M201" s="374" t="s">
        <v>314</v>
      </c>
      <c r="N201" s="374" t="s">
        <v>301</v>
      </c>
      <c r="O201" s="404" t="s">
        <v>1322</v>
      </c>
      <c r="P201" s="368" t="s">
        <v>1500</v>
      </c>
      <c r="Q201" s="367" t="s">
        <v>1321</v>
      </c>
      <c r="R201" s="367">
        <v>57</v>
      </c>
    </row>
    <row r="202" spans="1:18" ht="20.100000000000001" customHeight="1" x14ac:dyDescent="0.2">
      <c r="A202" s="377" t="s">
        <v>471</v>
      </c>
      <c r="B202" s="371" t="s">
        <v>218</v>
      </c>
      <c r="C202" s="371">
        <v>7</v>
      </c>
      <c r="D202" s="372">
        <v>4</v>
      </c>
      <c r="E202" s="371" t="s">
        <v>311</v>
      </c>
      <c r="F202" s="371" t="s">
        <v>472</v>
      </c>
      <c r="G202" s="371" t="s">
        <v>215</v>
      </c>
      <c r="H202" s="371" t="s">
        <v>770</v>
      </c>
      <c r="I202" s="371" t="s">
        <v>473</v>
      </c>
      <c r="J202" s="371" t="s">
        <v>313</v>
      </c>
      <c r="K202" s="373" t="str">
        <f>IF(O202="Zauberspruch",L202,O202)</f>
        <v>Beherrschen</v>
      </c>
      <c r="L202" s="373" t="s">
        <v>137</v>
      </c>
      <c r="M202" s="374" t="s">
        <v>309</v>
      </c>
      <c r="N202" s="374" t="s">
        <v>308</v>
      </c>
      <c r="O202" s="373" t="s">
        <v>166</v>
      </c>
      <c r="P202" s="368" t="s">
        <v>75</v>
      </c>
      <c r="Q202" s="367" t="s">
        <v>748</v>
      </c>
      <c r="R202" s="367">
        <v>86</v>
      </c>
    </row>
    <row r="203" spans="1:18" ht="20.100000000000001" customHeight="1" x14ac:dyDescent="0.2">
      <c r="A203" s="377" t="s">
        <v>1437</v>
      </c>
      <c r="B203" s="371" t="s">
        <v>218</v>
      </c>
      <c r="C203" s="371">
        <v>7</v>
      </c>
      <c r="D203" s="372">
        <v>4</v>
      </c>
      <c r="E203" s="371" t="s">
        <v>311</v>
      </c>
      <c r="F203" s="371" t="s">
        <v>472</v>
      </c>
      <c r="G203" s="371" t="s">
        <v>215</v>
      </c>
      <c r="H203" s="371" t="s">
        <v>770</v>
      </c>
      <c r="I203" s="371" t="s">
        <v>473</v>
      </c>
      <c r="J203" s="371" t="s">
        <v>307</v>
      </c>
      <c r="K203" s="373" t="str">
        <f>IF(O203="Zauberspruch",L203,O203)</f>
        <v>Dweomer</v>
      </c>
      <c r="L203" s="373" t="s">
        <v>137</v>
      </c>
      <c r="M203" s="374" t="s">
        <v>301</v>
      </c>
      <c r="N203" s="374" t="s">
        <v>308</v>
      </c>
      <c r="O203" s="404" t="s">
        <v>146</v>
      </c>
      <c r="P203" s="368" t="s">
        <v>75</v>
      </c>
      <c r="Q203" s="367" t="s">
        <v>1321</v>
      </c>
      <c r="R203" s="367">
        <v>93</v>
      </c>
    </row>
    <row r="204" spans="1:18" ht="20.100000000000001" customHeight="1" x14ac:dyDescent="0.2">
      <c r="A204" s="377" t="s">
        <v>1526</v>
      </c>
      <c r="B204" s="371" t="s">
        <v>219</v>
      </c>
      <c r="C204" s="371">
        <v>7</v>
      </c>
      <c r="D204" s="372">
        <v>4</v>
      </c>
      <c r="E204" s="371" t="s">
        <v>304</v>
      </c>
      <c r="F204" s="371" t="s">
        <v>472</v>
      </c>
      <c r="G204" s="371" t="s">
        <v>215</v>
      </c>
      <c r="H204" s="371" t="s">
        <v>770</v>
      </c>
      <c r="I204" s="371" t="s">
        <v>473</v>
      </c>
      <c r="J204" s="371" t="s">
        <v>313</v>
      </c>
      <c r="K204" s="373" t="str">
        <f>IF(O204="Zauberspruch",L204,O204)</f>
        <v>Zaubersiegel</v>
      </c>
      <c r="L204" s="373" t="s">
        <v>137</v>
      </c>
      <c r="M204" s="374" t="s">
        <v>309</v>
      </c>
      <c r="N204" s="374" t="s">
        <v>308</v>
      </c>
      <c r="O204" s="404" t="s">
        <v>1322</v>
      </c>
      <c r="P204" s="368" t="s">
        <v>216</v>
      </c>
      <c r="Q204" s="367" t="s">
        <v>1321</v>
      </c>
      <c r="R204" s="367">
        <v>57</v>
      </c>
    </row>
    <row r="205" spans="1:18" ht="20.100000000000001" customHeight="1" x14ac:dyDescent="0.2">
      <c r="A205" s="377" t="s">
        <v>474</v>
      </c>
      <c r="B205" s="371" t="s">
        <v>220</v>
      </c>
      <c r="C205" s="371">
        <v>2</v>
      </c>
      <c r="D205" s="372">
        <v>1</v>
      </c>
      <c r="E205" s="371" t="s">
        <v>311</v>
      </c>
      <c r="F205" s="371" t="s">
        <v>363</v>
      </c>
      <c r="G205" s="371" t="s">
        <v>217</v>
      </c>
      <c r="H205" s="371" t="s">
        <v>374</v>
      </c>
      <c r="I205" s="371">
        <v>0</v>
      </c>
      <c r="J205" s="371" t="s">
        <v>328</v>
      </c>
      <c r="K205" s="373" t="str">
        <f>IF(O205="Zauberspruch",L205,O205)</f>
        <v>Erschaffen</v>
      </c>
      <c r="L205" s="373" t="s">
        <v>145</v>
      </c>
      <c r="M205" s="374" t="s">
        <v>329</v>
      </c>
      <c r="N205" s="374" t="s">
        <v>329</v>
      </c>
      <c r="O205" s="373" t="s">
        <v>166</v>
      </c>
      <c r="P205" s="368" t="s">
        <v>475</v>
      </c>
      <c r="Q205" s="367" t="s">
        <v>748</v>
      </c>
      <c r="R205" s="367">
        <v>86</v>
      </c>
    </row>
    <row r="206" spans="1:18" ht="20.100000000000001" customHeight="1" x14ac:dyDescent="0.2">
      <c r="A206" s="377" t="s">
        <v>1483</v>
      </c>
      <c r="B206" s="371" t="s">
        <v>220</v>
      </c>
      <c r="C206" s="371">
        <v>2</v>
      </c>
      <c r="D206" s="372">
        <v>1</v>
      </c>
      <c r="E206" s="371" t="s">
        <v>304</v>
      </c>
      <c r="F206" s="371" t="s">
        <v>363</v>
      </c>
      <c r="G206" s="371" t="s">
        <v>217</v>
      </c>
      <c r="H206" s="371" t="s">
        <v>374</v>
      </c>
      <c r="I206" s="371">
        <v>0</v>
      </c>
      <c r="J206" s="371" t="s">
        <v>328</v>
      </c>
      <c r="K206" s="373" t="str">
        <f>IF(O206="Zauberspruch",L206,O206)</f>
        <v>Runenstab</v>
      </c>
      <c r="L206" s="373" t="s">
        <v>145</v>
      </c>
      <c r="M206" s="374" t="s">
        <v>329</v>
      </c>
      <c r="N206" s="374" t="s">
        <v>329</v>
      </c>
      <c r="O206" s="404" t="s">
        <v>1472</v>
      </c>
      <c r="P206" s="368" t="s">
        <v>75</v>
      </c>
      <c r="Q206" s="367" t="s">
        <v>1321</v>
      </c>
      <c r="R206" s="367">
        <v>52</v>
      </c>
    </row>
    <row r="207" spans="1:18" ht="20.100000000000001" customHeight="1" x14ac:dyDescent="0.2">
      <c r="A207" s="377" t="s">
        <v>476</v>
      </c>
      <c r="B207" s="371" t="s">
        <v>220</v>
      </c>
      <c r="C207" s="371">
        <v>7</v>
      </c>
      <c r="D207" s="372" t="s">
        <v>756</v>
      </c>
      <c r="E207" s="371" t="s">
        <v>311</v>
      </c>
      <c r="F207" s="371" t="s">
        <v>305</v>
      </c>
      <c r="G207" s="371" t="s">
        <v>215</v>
      </c>
      <c r="H207" s="371" t="s">
        <v>770</v>
      </c>
      <c r="I207" s="371" t="s">
        <v>347</v>
      </c>
      <c r="J207" s="371" t="s">
        <v>313</v>
      </c>
      <c r="K207" s="373" t="str">
        <f>IF(O207="Zauberspruch",L207,O207)</f>
        <v>Beherrschen</v>
      </c>
      <c r="L207" s="373" t="s">
        <v>137</v>
      </c>
      <c r="M207" s="374" t="s">
        <v>308</v>
      </c>
      <c r="N207" s="374" t="s">
        <v>308</v>
      </c>
      <c r="O207" s="373" t="s">
        <v>166</v>
      </c>
      <c r="P207" s="368" t="s">
        <v>477</v>
      </c>
      <c r="Q207" s="367" t="s">
        <v>748</v>
      </c>
      <c r="R207" s="367">
        <v>87</v>
      </c>
    </row>
    <row r="208" spans="1:18" ht="20.100000000000001" customHeight="1" x14ac:dyDescent="0.2">
      <c r="A208" s="377" t="s">
        <v>1445</v>
      </c>
      <c r="B208" s="371" t="s">
        <v>218</v>
      </c>
      <c r="C208" s="371">
        <v>1</v>
      </c>
      <c r="D208" s="372">
        <v>1</v>
      </c>
      <c r="E208" s="371" t="s">
        <v>304</v>
      </c>
      <c r="F208" s="371" t="s">
        <v>472</v>
      </c>
      <c r="G208" s="371" t="s">
        <v>217</v>
      </c>
      <c r="H208" s="371" t="s">
        <v>774</v>
      </c>
      <c r="I208" s="371" t="s">
        <v>306</v>
      </c>
      <c r="J208" s="371" t="s">
        <v>313</v>
      </c>
      <c r="K208" s="373" t="str">
        <f>IF(O208="Zauberspruch",L208,O208)</f>
        <v>Zaubersalz</v>
      </c>
      <c r="L208" s="373" t="s">
        <v>145</v>
      </c>
      <c r="M208" s="374" t="s">
        <v>308</v>
      </c>
      <c r="N208" s="374" t="s">
        <v>308</v>
      </c>
      <c r="O208" s="404" t="s">
        <v>1439</v>
      </c>
      <c r="P208" s="368" t="s">
        <v>1706</v>
      </c>
      <c r="Q208" s="367" t="s">
        <v>1321</v>
      </c>
      <c r="R208" s="367">
        <v>46</v>
      </c>
    </row>
    <row r="209" spans="1:18" ht="20.100000000000001" customHeight="1" x14ac:dyDescent="0.2">
      <c r="A209" s="377" t="s">
        <v>1391</v>
      </c>
      <c r="B209" s="371" t="s">
        <v>218</v>
      </c>
      <c r="C209" s="371">
        <v>6</v>
      </c>
      <c r="D209" s="372">
        <v>3</v>
      </c>
      <c r="E209" s="371" t="s">
        <v>324</v>
      </c>
      <c r="F209" s="371" t="s">
        <v>321</v>
      </c>
      <c r="G209" s="371" t="s">
        <v>215</v>
      </c>
      <c r="H209" s="371" t="s">
        <v>770</v>
      </c>
      <c r="I209" s="371" t="s">
        <v>493</v>
      </c>
      <c r="J209" s="371" t="s">
        <v>307</v>
      </c>
      <c r="K209" s="373" t="str">
        <f>IF(O209="Zauberspruch",L209,O209)</f>
        <v>Dweomer</v>
      </c>
      <c r="L209" s="373" t="s">
        <v>143</v>
      </c>
      <c r="M209" s="374" t="s">
        <v>301</v>
      </c>
      <c r="N209" s="374" t="s">
        <v>308</v>
      </c>
      <c r="O209" s="404" t="s">
        <v>146</v>
      </c>
      <c r="P209" s="368" t="s">
        <v>75</v>
      </c>
      <c r="Q209" s="367" t="s">
        <v>1321</v>
      </c>
      <c r="R209" s="367">
        <v>93</v>
      </c>
    </row>
    <row r="210" spans="1:18" ht="20.100000000000001" customHeight="1" x14ac:dyDescent="0.2">
      <c r="A210" s="377" t="s">
        <v>1610</v>
      </c>
      <c r="B210" s="371" t="s">
        <v>220</v>
      </c>
      <c r="C210" s="371">
        <v>3</v>
      </c>
      <c r="D210" s="372">
        <v>2</v>
      </c>
      <c r="E210" s="371" t="s">
        <v>299</v>
      </c>
      <c r="F210" s="371" t="s">
        <v>75</v>
      </c>
      <c r="G210" s="371" t="s">
        <v>216</v>
      </c>
      <c r="H210" s="371" t="s">
        <v>770</v>
      </c>
      <c r="I210" s="371" t="s">
        <v>316</v>
      </c>
      <c r="J210" s="371" t="s">
        <v>300</v>
      </c>
      <c r="K210" s="373" t="str">
        <f>IF(O210="Zauberspruch",L210,O210)</f>
        <v>Zauberrune</v>
      </c>
      <c r="L210" s="373" t="s">
        <v>138</v>
      </c>
      <c r="M210" s="374" t="s">
        <v>314</v>
      </c>
      <c r="N210" s="374" t="s">
        <v>302</v>
      </c>
      <c r="O210" s="404" t="s">
        <v>1601</v>
      </c>
      <c r="P210" s="368" t="s">
        <v>1716</v>
      </c>
      <c r="Q210" s="367" t="s">
        <v>1321</v>
      </c>
      <c r="R210" s="367">
        <v>71</v>
      </c>
    </row>
    <row r="211" spans="1:18" ht="20.100000000000001" customHeight="1" x14ac:dyDescent="0.2">
      <c r="A211" s="377" t="s">
        <v>1842</v>
      </c>
      <c r="B211" s="371" t="s">
        <v>219</v>
      </c>
      <c r="C211" s="371">
        <v>10</v>
      </c>
      <c r="D211" s="371" t="s">
        <v>1799</v>
      </c>
      <c r="E211" s="371" t="s">
        <v>324</v>
      </c>
      <c r="F211" s="371" t="s">
        <v>321</v>
      </c>
      <c r="G211" s="371" t="s">
        <v>215</v>
      </c>
      <c r="H211" s="371" t="s">
        <v>770</v>
      </c>
      <c r="I211" s="371" t="s">
        <v>369</v>
      </c>
      <c r="J211" s="371" t="s">
        <v>307</v>
      </c>
      <c r="K211" s="373" t="str">
        <f>IF(O211="Zauberspruch",L211,O211)</f>
        <v>Dweomer</v>
      </c>
      <c r="L211" s="373" t="s">
        <v>137</v>
      </c>
      <c r="M211" s="373" t="s">
        <v>301</v>
      </c>
      <c r="N211" s="373" t="s">
        <v>314</v>
      </c>
      <c r="O211" s="376" t="s">
        <v>146</v>
      </c>
      <c r="P211" s="376" t="s">
        <v>75</v>
      </c>
      <c r="Q211" s="367" t="s">
        <v>1872</v>
      </c>
      <c r="R211" s="367">
        <v>21</v>
      </c>
    </row>
    <row r="212" spans="1:18" ht="20.100000000000001" customHeight="1" x14ac:dyDescent="0.2">
      <c r="A212" s="377" t="s">
        <v>1611</v>
      </c>
      <c r="B212" s="371" t="s">
        <v>220</v>
      </c>
      <c r="C212" s="371">
        <v>4</v>
      </c>
      <c r="D212" s="372">
        <v>2</v>
      </c>
      <c r="E212" s="371" t="s">
        <v>299</v>
      </c>
      <c r="F212" s="371" t="s">
        <v>75</v>
      </c>
      <c r="G212" s="371" t="s">
        <v>215</v>
      </c>
      <c r="H212" s="371" t="s">
        <v>770</v>
      </c>
      <c r="I212" s="371" t="s">
        <v>369</v>
      </c>
      <c r="J212" s="371" t="s">
        <v>300</v>
      </c>
      <c r="K212" s="373" t="str">
        <f>IF(O212="Zauberspruch",L212,O212)</f>
        <v>Zauberrune</v>
      </c>
      <c r="L212" s="373" t="s">
        <v>138</v>
      </c>
      <c r="M212" s="374" t="s">
        <v>314</v>
      </c>
      <c r="N212" s="374" t="s">
        <v>314</v>
      </c>
      <c r="O212" s="404" t="s">
        <v>1601</v>
      </c>
      <c r="P212" s="368" t="s">
        <v>1717</v>
      </c>
      <c r="Q212" s="367" t="s">
        <v>1321</v>
      </c>
      <c r="R212" s="367">
        <v>71</v>
      </c>
    </row>
    <row r="213" spans="1:18" ht="20.100000000000001" customHeight="1" x14ac:dyDescent="0.2">
      <c r="A213" s="377" t="s">
        <v>1392</v>
      </c>
      <c r="B213" s="371" t="s">
        <v>218</v>
      </c>
      <c r="C213" s="371">
        <v>1</v>
      </c>
      <c r="D213" s="372">
        <v>1</v>
      </c>
      <c r="E213" s="371" t="s">
        <v>304</v>
      </c>
      <c r="F213" s="371" t="s">
        <v>627</v>
      </c>
      <c r="G213" s="371" t="s">
        <v>215</v>
      </c>
      <c r="H213" s="371" t="s">
        <v>770</v>
      </c>
      <c r="I213" s="371">
        <v>0</v>
      </c>
      <c r="J213" s="371" t="s">
        <v>307</v>
      </c>
      <c r="K213" s="373" t="str">
        <f>IF(O213="Zauberspruch",L213,O213)</f>
        <v>Dweomer</v>
      </c>
      <c r="L213" s="373" t="s">
        <v>137</v>
      </c>
      <c r="M213" s="374" t="s">
        <v>301</v>
      </c>
      <c r="N213" s="374" t="s">
        <v>309</v>
      </c>
      <c r="O213" s="404" t="s">
        <v>146</v>
      </c>
      <c r="P213" s="368" t="s">
        <v>75</v>
      </c>
      <c r="Q213" s="367" t="s">
        <v>1321</v>
      </c>
      <c r="R213" s="367">
        <v>93</v>
      </c>
    </row>
    <row r="214" spans="1:18" ht="20.100000000000001" customHeight="1" x14ac:dyDescent="0.2">
      <c r="A214" s="377" t="s">
        <v>1416</v>
      </c>
      <c r="B214" s="371" t="s">
        <v>220</v>
      </c>
      <c r="C214" s="371">
        <v>4</v>
      </c>
      <c r="D214" s="372">
        <v>4</v>
      </c>
      <c r="E214" s="371" t="s">
        <v>347</v>
      </c>
      <c r="F214" s="371" t="s">
        <v>25</v>
      </c>
      <c r="G214" s="371" t="s">
        <v>216</v>
      </c>
      <c r="H214" s="371" t="s">
        <v>770</v>
      </c>
      <c r="I214" s="371">
        <v>0</v>
      </c>
      <c r="J214" s="371" t="s">
        <v>307</v>
      </c>
      <c r="K214" s="373" t="str">
        <f>IF(O214="Zauberspruch",L214,O214)</f>
        <v>Thaumatherapie</v>
      </c>
      <c r="L214" s="373" t="s">
        <v>141</v>
      </c>
      <c r="M214" s="374" t="s">
        <v>301</v>
      </c>
      <c r="N214" s="374" t="s">
        <v>329</v>
      </c>
      <c r="O214" s="404" t="s">
        <v>1340</v>
      </c>
      <c r="P214" s="368" t="s">
        <v>75</v>
      </c>
      <c r="Q214" s="367" t="s">
        <v>1321</v>
      </c>
      <c r="R214" s="367">
        <v>85</v>
      </c>
    </row>
    <row r="215" spans="1:18" ht="20.100000000000001" customHeight="1" x14ac:dyDescent="0.2">
      <c r="A215" s="377" t="s">
        <v>478</v>
      </c>
      <c r="B215" s="371" t="s">
        <v>220</v>
      </c>
      <c r="C215" s="371">
        <v>1</v>
      </c>
      <c r="D215" s="372">
        <v>1</v>
      </c>
      <c r="E215" s="371" t="s">
        <v>311</v>
      </c>
      <c r="F215" s="371" t="s">
        <v>332</v>
      </c>
      <c r="G215" s="371" t="s">
        <v>217</v>
      </c>
      <c r="H215" s="371" t="s">
        <v>781</v>
      </c>
      <c r="I215" s="371" t="s">
        <v>306</v>
      </c>
      <c r="J215" s="371" t="s">
        <v>313</v>
      </c>
      <c r="K215" s="373" t="str">
        <f>IF(O215="Zauberspruch",L215,O215)</f>
        <v>Erkennen</v>
      </c>
      <c r="L215" s="373" t="s">
        <v>143</v>
      </c>
      <c r="M215" s="374" t="s">
        <v>322</v>
      </c>
      <c r="N215" s="374" t="s">
        <v>329</v>
      </c>
      <c r="O215" s="373" t="s">
        <v>166</v>
      </c>
      <c r="P215" s="368" t="s">
        <v>479</v>
      </c>
      <c r="Q215" s="367" t="s">
        <v>748</v>
      </c>
      <c r="R215" s="367">
        <v>87</v>
      </c>
    </row>
    <row r="216" spans="1:18" ht="20.100000000000001" customHeight="1" x14ac:dyDescent="0.2">
      <c r="A216" s="377" t="s">
        <v>1827</v>
      </c>
      <c r="B216" s="371" t="s">
        <v>220</v>
      </c>
      <c r="C216" s="371">
        <v>5</v>
      </c>
      <c r="D216" s="371" t="s">
        <v>762</v>
      </c>
      <c r="E216" s="371" t="s">
        <v>299</v>
      </c>
      <c r="F216" s="371" t="s">
        <v>335</v>
      </c>
      <c r="G216" s="371" t="s">
        <v>216</v>
      </c>
      <c r="H216" s="371" t="s">
        <v>1858</v>
      </c>
      <c r="I216" s="371" t="s">
        <v>397</v>
      </c>
      <c r="J216" s="371" t="s">
        <v>300</v>
      </c>
      <c r="K216" s="373" t="str">
        <f>IF(O216="Zauberspruch",L216,O216)</f>
        <v>Wundertat</v>
      </c>
      <c r="L216" s="373" t="s">
        <v>140</v>
      </c>
      <c r="M216" s="373" t="s">
        <v>314</v>
      </c>
      <c r="N216" s="373" t="s">
        <v>319</v>
      </c>
      <c r="O216" s="376" t="s">
        <v>1183</v>
      </c>
      <c r="P216" s="376" t="s">
        <v>1868</v>
      </c>
      <c r="Q216" s="367" t="s">
        <v>1872</v>
      </c>
      <c r="R216" s="367">
        <v>16</v>
      </c>
    </row>
    <row r="217" spans="1:18" ht="20.100000000000001" customHeight="1" x14ac:dyDescent="0.2">
      <c r="A217" s="377" t="s">
        <v>1612</v>
      </c>
      <c r="B217" s="371" t="s">
        <v>220</v>
      </c>
      <c r="C217" s="371">
        <v>7</v>
      </c>
      <c r="D217" s="372">
        <v>4</v>
      </c>
      <c r="E217" s="371" t="s">
        <v>299</v>
      </c>
      <c r="F217" s="371" t="s">
        <v>75</v>
      </c>
      <c r="G217" s="371" t="s">
        <v>216</v>
      </c>
      <c r="H217" s="371" t="s">
        <v>770</v>
      </c>
      <c r="I217" s="371" t="s">
        <v>306</v>
      </c>
      <c r="J217" s="371" t="s">
        <v>300</v>
      </c>
      <c r="K217" s="373" t="str">
        <f>IF(O217="Zauberspruch",L217,O217)</f>
        <v>Zauberrune</v>
      </c>
      <c r="L217" s="373" t="s">
        <v>137</v>
      </c>
      <c r="M217" s="374" t="s">
        <v>314</v>
      </c>
      <c r="N217" s="374" t="s">
        <v>308</v>
      </c>
      <c r="O217" s="404" t="s">
        <v>1601</v>
      </c>
      <c r="P217" s="368" t="s">
        <v>1718</v>
      </c>
      <c r="Q217" s="367" t="s">
        <v>1321</v>
      </c>
      <c r="R217" s="367">
        <v>71</v>
      </c>
    </row>
    <row r="218" spans="1:18" ht="20.100000000000001" customHeight="1" x14ac:dyDescent="0.2">
      <c r="A218" s="377" t="s">
        <v>480</v>
      </c>
      <c r="B218" s="371" t="s">
        <v>220</v>
      </c>
      <c r="C218" s="371">
        <v>6</v>
      </c>
      <c r="D218" s="372" t="s">
        <v>757</v>
      </c>
      <c r="E218" s="371" t="s">
        <v>311</v>
      </c>
      <c r="F218" s="371" t="s">
        <v>25</v>
      </c>
      <c r="G218" s="371" t="s">
        <v>217</v>
      </c>
      <c r="H218" s="371" t="s">
        <v>796</v>
      </c>
      <c r="I218" s="371" t="s">
        <v>338</v>
      </c>
      <c r="J218" s="371" t="s">
        <v>313</v>
      </c>
      <c r="K218" s="373" t="str">
        <f>IF(O218="Zauberspruch",L218,O218)</f>
        <v>Erschaffen</v>
      </c>
      <c r="L218" s="373" t="s">
        <v>145</v>
      </c>
      <c r="M218" s="374" t="s">
        <v>319</v>
      </c>
      <c r="N218" s="374" t="s">
        <v>319</v>
      </c>
      <c r="O218" s="373" t="s">
        <v>166</v>
      </c>
      <c r="P218" s="368" t="s">
        <v>481</v>
      </c>
      <c r="Q218" s="367" t="s">
        <v>748</v>
      </c>
      <c r="R218" s="367">
        <v>87</v>
      </c>
    </row>
    <row r="219" spans="1:18" ht="20.100000000000001" customHeight="1" x14ac:dyDescent="0.2">
      <c r="A219" s="377" t="s">
        <v>1527</v>
      </c>
      <c r="B219" s="371" t="s">
        <v>219</v>
      </c>
      <c r="C219" s="371">
        <v>6</v>
      </c>
      <c r="D219" s="372">
        <v>1</v>
      </c>
      <c r="E219" s="371" t="s">
        <v>304</v>
      </c>
      <c r="F219" s="371" t="s">
        <v>25</v>
      </c>
      <c r="G219" s="371" t="s">
        <v>217</v>
      </c>
      <c r="H219" s="371" t="s">
        <v>1599</v>
      </c>
      <c r="I219" s="371" t="s">
        <v>338</v>
      </c>
      <c r="J219" s="371" t="s">
        <v>313</v>
      </c>
      <c r="K219" s="373" t="str">
        <f>IF(O219="Zauberspruch",L219,O219)</f>
        <v>Zaubersiegel</v>
      </c>
      <c r="L219" s="373" t="s">
        <v>145</v>
      </c>
      <c r="M219" s="374" t="s">
        <v>319</v>
      </c>
      <c r="N219" s="374" t="s">
        <v>319</v>
      </c>
      <c r="O219" s="404" t="s">
        <v>1322</v>
      </c>
      <c r="P219" s="368" t="s">
        <v>1528</v>
      </c>
      <c r="Q219" s="367" t="s">
        <v>1321</v>
      </c>
      <c r="R219" s="367">
        <v>57</v>
      </c>
    </row>
    <row r="220" spans="1:18" ht="20.100000000000001" customHeight="1" x14ac:dyDescent="0.2">
      <c r="A220" s="377" t="s">
        <v>482</v>
      </c>
      <c r="B220" s="371" t="s">
        <v>218</v>
      </c>
      <c r="C220" s="371">
        <v>6</v>
      </c>
      <c r="D220" s="372" t="s">
        <v>397</v>
      </c>
      <c r="E220" s="371" t="s">
        <v>304</v>
      </c>
      <c r="F220" s="371" t="s">
        <v>75</v>
      </c>
      <c r="G220" s="371" t="s">
        <v>215</v>
      </c>
      <c r="H220" s="371" t="s">
        <v>791</v>
      </c>
      <c r="I220" s="371" t="s">
        <v>306</v>
      </c>
      <c r="J220" s="371" t="s">
        <v>313</v>
      </c>
      <c r="K220" s="373" t="str">
        <f>IF(O220="Zauberspruch",L220,O220)</f>
        <v>Zerstören</v>
      </c>
      <c r="L220" s="373" t="s">
        <v>141</v>
      </c>
      <c r="M220" s="374" t="s">
        <v>308</v>
      </c>
      <c r="N220" s="374" t="s">
        <v>322</v>
      </c>
      <c r="O220" s="373" t="s">
        <v>166</v>
      </c>
      <c r="P220" s="368" t="s">
        <v>75</v>
      </c>
      <c r="Q220" s="367" t="s">
        <v>748</v>
      </c>
      <c r="R220" s="367">
        <v>87</v>
      </c>
    </row>
    <row r="221" spans="1:18" ht="20.100000000000001" customHeight="1" x14ac:dyDescent="0.2">
      <c r="A221" s="377" t="s">
        <v>1529</v>
      </c>
      <c r="B221" s="371" t="s">
        <v>219</v>
      </c>
      <c r="C221" s="371">
        <v>8</v>
      </c>
      <c r="D221" s="372">
        <v>4</v>
      </c>
      <c r="E221" s="371" t="s">
        <v>304</v>
      </c>
      <c r="F221" s="371" t="s">
        <v>321</v>
      </c>
      <c r="G221" s="371" t="s">
        <v>215</v>
      </c>
      <c r="H221" s="371" t="s">
        <v>770</v>
      </c>
      <c r="I221" s="371" t="s">
        <v>306</v>
      </c>
      <c r="J221" s="371" t="s">
        <v>313</v>
      </c>
      <c r="K221" s="373" t="str">
        <f>IF(O221="Zauberspruch",L221,O221)</f>
        <v>Zaubersiegel</v>
      </c>
      <c r="L221" s="373" t="s">
        <v>141</v>
      </c>
      <c r="M221" s="374" t="s">
        <v>308</v>
      </c>
      <c r="N221" s="374" t="s">
        <v>322</v>
      </c>
      <c r="O221" s="404" t="s">
        <v>1322</v>
      </c>
      <c r="P221" s="368" t="s">
        <v>1497</v>
      </c>
      <c r="Q221" s="367" t="s">
        <v>1321</v>
      </c>
      <c r="R221" s="367">
        <v>57</v>
      </c>
    </row>
    <row r="222" spans="1:18" ht="20.100000000000001" customHeight="1" x14ac:dyDescent="0.2">
      <c r="A222" s="377" t="s">
        <v>1613</v>
      </c>
      <c r="B222" s="371" t="s">
        <v>220</v>
      </c>
      <c r="C222" s="371">
        <v>3</v>
      </c>
      <c r="D222" s="372">
        <v>2</v>
      </c>
      <c r="E222" s="371" t="s">
        <v>299</v>
      </c>
      <c r="F222" s="371" t="s">
        <v>75</v>
      </c>
      <c r="G222" s="371" t="s">
        <v>215</v>
      </c>
      <c r="H222" s="371" t="s">
        <v>770</v>
      </c>
      <c r="I222" s="371" t="s">
        <v>369</v>
      </c>
      <c r="J222" s="371" t="s">
        <v>300</v>
      </c>
      <c r="K222" s="373" t="str">
        <f>IF(O222="Zauberspruch",L222,O222)</f>
        <v>Zauberrune</v>
      </c>
      <c r="L222" s="373" t="s">
        <v>138</v>
      </c>
      <c r="M222" s="374" t="s">
        <v>314</v>
      </c>
      <c r="N222" s="374" t="s">
        <v>314</v>
      </c>
      <c r="O222" s="404" t="s">
        <v>1601</v>
      </c>
      <c r="P222" s="368" t="s">
        <v>1719</v>
      </c>
      <c r="Q222" s="367" t="s">
        <v>1321</v>
      </c>
      <c r="R222" s="367">
        <v>72</v>
      </c>
    </row>
    <row r="223" spans="1:18" ht="20.100000000000001" customHeight="1" x14ac:dyDescent="0.2">
      <c r="A223" s="377" t="s">
        <v>483</v>
      </c>
      <c r="B223" s="371" t="s">
        <v>220</v>
      </c>
      <c r="C223" s="371">
        <v>2</v>
      </c>
      <c r="D223" s="372">
        <v>1</v>
      </c>
      <c r="E223" s="371" t="s">
        <v>304</v>
      </c>
      <c r="F223" s="371" t="s">
        <v>332</v>
      </c>
      <c r="G223" s="371" t="s">
        <v>217</v>
      </c>
      <c r="H223" s="371" t="s">
        <v>777</v>
      </c>
      <c r="I223" s="371" t="s">
        <v>484</v>
      </c>
      <c r="J223" s="371" t="s">
        <v>313</v>
      </c>
      <c r="K223" s="373" t="str">
        <f>IF(O223="Zauberspruch",L223,O223)</f>
        <v>Formen</v>
      </c>
      <c r="L223" s="373" t="s">
        <v>148</v>
      </c>
      <c r="M223" s="374" t="s">
        <v>319</v>
      </c>
      <c r="N223" s="374" t="s">
        <v>314</v>
      </c>
      <c r="O223" s="373" t="s">
        <v>166</v>
      </c>
      <c r="P223" s="368" t="s">
        <v>75</v>
      </c>
      <c r="Q223" s="367" t="s">
        <v>748</v>
      </c>
      <c r="R223" s="367">
        <v>88</v>
      </c>
    </row>
    <row r="224" spans="1:18" ht="20.100000000000001" customHeight="1" x14ac:dyDescent="0.2">
      <c r="A224" s="377" t="s">
        <v>1530</v>
      </c>
      <c r="B224" s="371" t="s">
        <v>219</v>
      </c>
      <c r="C224" s="371">
        <v>2</v>
      </c>
      <c r="D224" s="372">
        <v>1</v>
      </c>
      <c r="E224" s="371" t="s">
        <v>304</v>
      </c>
      <c r="F224" s="371" t="s">
        <v>332</v>
      </c>
      <c r="G224" s="371" t="s">
        <v>217</v>
      </c>
      <c r="H224" s="371" t="s">
        <v>777</v>
      </c>
      <c r="I224" s="371" t="s">
        <v>484</v>
      </c>
      <c r="J224" s="371" t="s">
        <v>313</v>
      </c>
      <c r="K224" s="373" t="str">
        <f>IF(O224="Zauberspruch",L224,O224)</f>
        <v>Zaubersiegel</v>
      </c>
      <c r="L224" s="373" t="s">
        <v>148</v>
      </c>
      <c r="M224" s="374" t="s">
        <v>319</v>
      </c>
      <c r="N224" s="374" t="s">
        <v>314</v>
      </c>
      <c r="O224" s="404" t="s">
        <v>1322</v>
      </c>
      <c r="P224" s="368" t="s">
        <v>1497</v>
      </c>
      <c r="Q224" s="367" t="s">
        <v>1321</v>
      </c>
      <c r="R224" s="367">
        <v>58</v>
      </c>
    </row>
    <row r="225" spans="1:18" ht="20.100000000000001" customHeight="1" x14ac:dyDescent="0.2">
      <c r="A225" s="377" t="s">
        <v>1614</v>
      </c>
      <c r="B225" s="371" t="s">
        <v>220</v>
      </c>
      <c r="C225" s="371">
        <v>9</v>
      </c>
      <c r="D225" s="372">
        <v>6</v>
      </c>
      <c r="E225" s="371" t="s">
        <v>299</v>
      </c>
      <c r="F225" s="371" t="s">
        <v>321</v>
      </c>
      <c r="G225" s="371" t="s">
        <v>215</v>
      </c>
      <c r="H225" s="371" t="s">
        <v>791</v>
      </c>
      <c r="I225" s="371" t="s">
        <v>316</v>
      </c>
      <c r="J225" s="371" t="s">
        <v>300</v>
      </c>
      <c r="K225" s="373" t="str">
        <f>IF(O225="Zauberspruch",L225,O225)</f>
        <v>Zauberrune</v>
      </c>
      <c r="L225" s="373" t="s">
        <v>143</v>
      </c>
      <c r="M225" s="374" t="s">
        <v>314</v>
      </c>
      <c r="N225" s="374" t="s">
        <v>322</v>
      </c>
      <c r="O225" s="404" t="s">
        <v>1601</v>
      </c>
      <c r="P225" s="368" t="s">
        <v>1720</v>
      </c>
      <c r="Q225" s="367" t="s">
        <v>1321</v>
      </c>
      <c r="R225" s="367">
        <v>72</v>
      </c>
    </row>
    <row r="226" spans="1:18" ht="20.100000000000001" customHeight="1" x14ac:dyDescent="0.2">
      <c r="A226" s="377" t="s">
        <v>1417</v>
      </c>
      <c r="B226" s="371" t="s">
        <v>220</v>
      </c>
      <c r="C226" s="371">
        <v>3</v>
      </c>
      <c r="D226" s="372">
        <v>1</v>
      </c>
      <c r="E226" s="371" t="s">
        <v>347</v>
      </c>
      <c r="F226" s="371" t="s">
        <v>25</v>
      </c>
      <c r="G226" s="371" t="s">
        <v>217</v>
      </c>
      <c r="H226" s="371" t="s">
        <v>774</v>
      </c>
      <c r="I226" s="371">
        <v>0</v>
      </c>
      <c r="J226" s="371" t="s">
        <v>313</v>
      </c>
      <c r="K226" s="373" t="str">
        <f>IF(O226="Zauberspruch",L226,O226)</f>
        <v>Thaumatherapie</v>
      </c>
      <c r="L226" s="373" t="s">
        <v>143</v>
      </c>
      <c r="M226" s="374" t="s">
        <v>322</v>
      </c>
      <c r="N226" s="374" t="s">
        <v>329</v>
      </c>
      <c r="O226" s="404" t="s">
        <v>1340</v>
      </c>
      <c r="P226" s="368" t="s">
        <v>75</v>
      </c>
      <c r="Q226" s="367" t="s">
        <v>1321</v>
      </c>
      <c r="R226" s="367">
        <v>85</v>
      </c>
    </row>
    <row r="227" spans="1:18" ht="20.100000000000001" customHeight="1" x14ac:dyDescent="0.2">
      <c r="A227" s="377" t="s">
        <v>1418</v>
      </c>
      <c r="B227" s="371" t="s">
        <v>220</v>
      </c>
      <c r="C227" s="371">
        <v>4</v>
      </c>
      <c r="D227" s="372">
        <v>2</v>
      </c>
      <c r="E227" s="371" t="s">
        <v>306</v>
      </c>
      <c r="F227" s="371" t="s">
        <v>25</v>
      </c>
      <c r="G227" s="371" t="s">
        <v>216</v>
      </c>
      <c r="H227" s="371" t="s">
        <v>770</v>
      </c>
      <c r="I227" s="371" t="s">
        <v>316</v>
      </c>
      <c r="J227" s="371" t="s">
        <v>313</v>
      </c>
      <c r="K227" s="373" t="str">
        <f>IF(O227="Zauberspruch",L227,O227)</f>
        <v>Thaumatherapie</v>
      </c>
      <c r="L227" s="373" t="s">
        <v>138</v>
      </c>
      <c r="M227" s="374" t="s">
        <v>322</v>
      </c>
      <c r="N227" s="374" t="s">
        <v>309</v>
      </c>
      <c r="O227" s="404" t="s">
        <v>1340</v>
      </c>
      <c r="P227" s="368" t="s">
        <v>75</v>
      </c>
      <c r="Q227" s="367" t="s">
        <v>1321</v>
      </c>
      <c r="R227" s="367">
        <v>86</v>
      </c>
    </row>
    <row r="228" spans="1:18" ht="20.100000000000001" customHeight="1" x14ac:dyDescent="0.2">
      <c r="A228" s="377" t="s">
        <v>485</v>
      </c>
      <c r="B228" s="371" t="s">
        <v>220</v>
      </c>
      <c r="C228" s="371">
        <v>4</v>
      </c>
      <c r="D228" s="372">
        <v>2</v>
      </c>
      <c r="E228" s="371" t="s">
        <v>354</v>
      </c>
      <c r="F228" s="371" t="s">
        <v>332</v>
      </c>
      <c r="G228" s="371" t="s">
        <v>217</v>
      </c>
      <c r="H228" s="371" t="s">
        <v>777</v>
      </c>
      <c r="I228" s="371" t="s">
        <v>318</v>
      </c>
      <c r="J228" s="371" t="s">
        <v>300</v>
      </c>
      <c r="K228" s="373" t="str">
        <f>IF(O228="Zauberspruch",L228,O228)</f>
        <v>Zerstören</v>
      </c>
      <c r="L228" s="373" t="s">
        <v>141</v>
      </c>
      <c r="M228" s="374" t="s">
        <v>319</v>
      </c>
      <c r="N228" s="374" t="s">
        <v>322</v>
      </c>
      <c r="O228" s="373" t="s">
        <v>166</v>
      </c>
      <c r="P228" s="368" t="s">
        <v>75</v>
      </c>
      <c r="Q228" s="367" t="s">
        <v>748</v>
      </c>
      <c r="R228" s="367">
        <v>89</v>
      </c>
    </row>
    <row r="229" spans="1:18" ht="20.100000000000001" customHeight="1" x14ac:dyDescent="0.2">
      <c r="A229" s="397" t="s">
        <v>486</v>
      </c>
      <c r="B229" s="398" t="s">
        <v>220</v>
      </c>
      <c r="C229" s="398">
        <v>5</v>
      </c>
      <c r="D229" s="409">
        <v>3</v>
      </c>
      <c r="E229" s="398" t="s">
        <v>347</v>
      </c>
      <c r="F229" s="398" t="s">
        <v>25</v>
      </c>
      <c r="G229" s="398" t="s">
        <v>217</v>
      </c>
      <c r="H229" s="398" t="s">
        <v>774</v>
      </c>
      <c r="I229" s="371" t="s">
        <v>306</v>
      </c>
      <c r="J229" s="410" t="s">
        <v>300</v>
      </c>
      <c r="K229" s="373" t="str">
        <f>IF(O229="Zauberspruch",L229,O229)</f>
        <v>Wundertat</v>
      </c>
      <c r="L229" s="411" t="s">
        <v>148</v>
      </c>
      <c r="M229" s="411" t="s">
        <v>314</v>
      </c>
      <c r="N229" s="411" t="s">
        <v>319</v>
      </c>
      <c r="O229" s="411" t="s">
        <v>1183</v>
      </c>
      <c r="P229" s="1235" t="s">
        <v>1195</v>
      </c>
      <c r="Q229" s="402" t="s">
        <v>748</v>
      </c>
      <c r="R229" s="402">
        <v>141</v>
      </c>
    </row>
    <row r="230" spans="1:18" ht="20.100000000000001" customHeight="1" x14ac:dyDescent="0.2">
      <c r="A230" s="377" t="s">
        <v>487</v>
      </c>
      <c r="B230" s="371" t="s">
        <v>220</v>
      </c>
      <c r="C230" s="371">
        <v>4</v>
      </c>
      <c r="D230" s="372">
        <v>2</v>
      </c>
      <c r="E230" s="371" t="s">
        <v>311</v>
      </c>
      <c r="F230" s="371" t="s">
        <v>25</v>
      </c>
      <c r="G230" s="371" t="s">
        <v>217</v>
      </c>
      <c r="H230" s="371" t="s">
        <v>770</v>
      </c>
      <c r="I230" s="371" t="s">
        <v>318</v>
      </c>
      <c r="J230" s="371" t="s">
        <v>313</v>
      </c>
      <c r="K230" s="373" t="str">
        <f>IF(O230="Zauberspruch",L230,O230)</f>
        <v>Formen</v>
      </c>
      <c r="L230" s="373" t="s">
        <v>148</v>
      </c>
      <c r="M230" s="374" t="s">
        <v>319</v>
      </c>
      <c r="N230" s="374" t="s">
        <v>319</v>
      </c>
      <c r="O230" s="373" t="s">
        <v>166</v>
      </c>
      <c r="P230" s="368" t="s">
        <v>361</v>
      </c>
      <c r="Q230" s="367" t="s">
        <v>748</v>
      </c>
      <c r="R230" s="367">
        <v>88</v>
      </c>
    </row>
    <row r="231" spans="1:18" ht="20.100000000000001" customHeight="1" x14ac:dyDescent="0.2">
      <c r="A231" s="377" t="s">
        <v>1531</v>
      </c>
      <c r="B231" s="371" t="s">
        <v>219</v>
      </c>
      <c r="C231" s="371">
        <v>4</v>
      </c>
      <c r="D231" s="372">
        <v>2</v>
      </c>
      <c r="E231" s="371" t="s">
        <v>304</v>
      </c>
      <c r="F231" s="371" t="s">
        <v>25</v>
      </c>
      <c r="G231" s="371" t="s">
        <v>217</v>
      </c>
      <c r="H231" s="371" t="s">
        <v>770</v>
      </c>
      <c r="I231" s="371" t="s">
        <v>318</v>
      </c>
      <c r="J231" s="371" t="s">
        <v>313</v>
      </c>
      <c r="K231" s="373" t="str">
        <f>IF(O231="Zauberspruch",L231,O231)</f>
        <v>Zaubersiegel</v>
      </c>
      <c r="L231" s="373" t="s">
        <v>148</v>
      </c>
      <c r="M231" s="374" t="s">
        <v>319</v>
      </c>
      <c r="N231" s="374" t="s">
        <v>319</v>
      </c>
      <c r="O231" s="404" t="s">
        <v>1322</v>
      </c>
      <c r="P231" s="368" t="s">
        <v>81</v>
      </c>
      <c r="Q231" s="367" t="s">
        <v>1321</v>
      </c>
      <c r="R231" s="367">
        <v>58</v>
      </c>
    </row>
    <row r="232" spans="1:18" ht="20.100000000000001" customHeight="1" x14ac:dyDescent="0.2">
      <c r="A232" s="377" t="s">
        <v>1829</v>
      </c>
      <c r="B232" s="371" t="s">
        <v>220</v>
      </c>
      <c r="C232" s="371">
        <v>12</v>
      </c>
      <c r="D232" s="371" t="s">
        <v>1799</v>
      </c>
      <c r="E232" s="371" t="s">
        <v>383</v>
      </c>
      <c r="F232" s="371" t="s">
        <v>25</v>
      </c>
      <c r="G232" s="371" t="s">
        <v>217</v>
      </c>
      <c r="H232" s="371" t="s">
        <v>774</v>
      </c>
      <c r="I232" s="371" t="s">
        <v>369</v>
      </c>
      <c r="J232" s="371" t="s">
        <v>300</v>
      </c>
      <c r="K232" s="373" t="str">
        <f>IF(O232="Zauberspruch",L232,O232)</f>
        <v>Wundertat</v>
      </c>
      <c r="L232" s="373" t="s">
        <v>148</v>
      </c>
      <c r="M232" s="373" t="s">
        <v>301</v>
      </c>
      <c r="N232" s="373" t="s">
        <v>302</v>
      </c>
      <c r="O232" s="376" t="s">
        <v>1183</v>
      </c>
      <c r="P232" s="376" t="s">
        <v>1869</v>
      </c>
      <c r="Q232" s="367" t="s">
        <v>1872</v>
      </c>
      <c r="R232" s="367">
        <v>17</v>
      </c>
    </row>
    <row r="233" spans="1:18" ht="20.100000000000001" customHeight="1" x14ac:dyDescent="0.2">
      <c r="A233" s="377" t="s">
        <v>488</v>
      </c>
      <c r="B233" s="371" t="s">
        <v>220</v>
      </c>
      <c r="C233" s="371">
        <v>5</v>
      </c>
      <c r="D233" s="387">
        <v>4</v>
      </c>
      <c r="E233" s="371" t="s">
        <v>347</v>
      </c>
      <c r="F233" s="371" t="s">
        <v>332</v>
      </c>
      <c r="G233" s="371" t="s">
        <v>216</v>
      </c>
      <c r="H233" s="371" t="s">
        <v>791</v>
      </c>
      <c r="I233" s="371" t="s">
        <v>306</v>
      </c>
      <c r="J233" s="388" t="s">
        <v>300</v>
      </c>
      <c r="K233" s="373" t="str">
        <f>IF(O233="Zauberspruch",L233,O233)</f>
        <v>Wundertat</v>
      </c>
      <c r="L233" s="376" t="s">
        <v>138</v>
      </c>
      <c r="M233" s="376" t="s">
        <v>314</v>
      </c>
      <c r="N233" s="376" t="s">
        <v>309</v>
      </c>
      <c r="O233" s="376" t="s">
        <v>1183</v>
      </c>
      <c r="P233" s="389" t="s">
        <v>75</v>
      </c>
      <c r="Q233" s="367" t="s">
        <v>748</v>
      </c>
      <c r="R233" s="367">
        <v>143</v>
      </c>
    </row>
    <row r="234" spans="1:18" ht="20.100000000000001" customHeight="1" x14ac:dyDescent="0.2">
      <c r="A234" s="377" t="s">
        <v>489</v>
      </c>
      <c r="B234" s="371" t="s">
        <v>218</v>
      </c>
      <c r="C234" s="371">
        <v>8</v>
      </c>
      <c r="D234" s="387">
        <v>4</v>
      </c>
      <c r="E234" s="371" t="s">
        <v>299</v>
      </c>
      <c r="F234" s="371" t="s">
        <v>75</v>
      </c>
      <c r="G234" s="371" t="s">
        <v>215</v>
      </c>
      <c r="H234" s="371" t="s">
        <v>791</v>
      </c>
      <c r="I234" s="371" t="s">
        <v>306</v>
      </c>
      <c r="J234" s="388" t="s">
        <v>300</v>
      </c>
      <c r="K234" s="373" t="str">
        <f>IF(O234="Zauberspruch",L234,O234)</f>
        <v>Wundertat</v>
      </c>
      <c r="L234" s="376" t="s">
        <v>143</v>
      </c>
      <c r="M234" s="376" t="s">
        <v>314</v>
      </c>
      <c r="N234" s="376" t="s">
        <v>314</v>
      </c>
      <c r="O234" s="376" t="s">
        <v>1183</v>
      </c>
      <c r="P234" s="389" t="s">
        <v>75</v>
      </c>
      <c r="Q234" s="367" t="s">
        <v>748</v>
      </c>
      <c r="R234" s="367">
        <v>141</v>
      </c>
    </row>
    <row r="235" spans="1:18" ht="20.100000000000001" customHeight="1" x14ac:dyDescent="0.2">
      <c r="A235" s="377" t="s">
        <v>1828</v>
      </c>
      <c r="B235" s="371" t="s">
        <v>218</v>
      </c>
      <c r="C235" s="371">
        <v>10</v>
      </c>
      <c r="D235" s="371">
        <v>6</v>
      </c>
      <c r="E235" s="371" t="s">
        <v>347</v>
      </c>
      <c r="F235" s="371" t="s">
        <v>1771</v>
      </c>
      <c r="G235" s="371" t="s">
        <v>215</v>
      </c>
      <c r="H235" s="371" t="s">
        <v>1857</v>
      </c>
      <c r="I235" s="371" t="s">
        <v>369</v>
      </c>
      <c r="J235" s="371" t="s">
        <v>300</v>
      </c>
      <c r="K235" s="373" t="str">
        <f>IF(O235="Zauberspruch",L235,O235)</f>
        <v>Wundertat</v>
      </c>
      <c r="L235" s="373" t="s">
        <v>143</v>
      </c>
      <c r="M235" s="373" t="s">
        <v>314</v>
      </c>
      <c r="N235" s="373" t="s">
        <v>314</v>
      </c>
      <c r="O235" s="376" t="s">
        <v>1183</v>
      </c>
      <c r="P235" s="376" t="s">
        <v>75</v>
      </c>
      <c r="Q235" s="367" t="s">
        <v>1872</v>
      </c>
      <c r="R235" s="367">
        <v>17</v>
      </c>
    </row>
    <row r="236" spans="1:18" ht="20.100000000000001" customHeight="1" x14ac:dyDescent="0.2">
      <c r="A236" s="377" t="s">
        <v>490</v>
      </c>
      <c r="B236" s="371" t="s">
        <v>220</v>
      </c>
      <c r="C236" s="371">
        <v>5</v>
      </c>
      <c r="D236" s="387">
        <v>3</v>
      </c>
      <c r="E236" s="371" t="s">
        <v>311</v>
      </c>
      <c r="F236" s="371" t="s">
        <v>305</v>
      </c>
      <c r="G236" s="371" t="s">
        <v>217</v>
      </c>
      <c r="H236" s="371" t="s">
        <v>374</v>
      </c>
      <c r="I236" s="371" t="s">
        <v>325</v>
      </c>
      <c r="J236" s="388" t="s">
        <v>300</v>
      </c>
      <c r="K236" s="373" t="str">
        <f>IF(O236="Zauberspruch",L236,O236)</f>
        <v>Wundertat</v>
      </c>
      <c r="L236" s="376" t="s">
        <v>145</v>
      </c>
      <c r="M236" s="376" t="s">
        <v>314</v>
      </c>
      <c r="N236" s="376" t="s">
        <v>308</v>
      </c>
      <c r="O236" s="376" t="s">
        <v>1183</v>
      </c>
      <c r="P236" s="389" t="s">
        <v>75</v>
      </c>
      <c r="Q236" s="367" t="s">
        <v>748</v>
      </c>
      <c r="R236" s="367">
        <v>141</v>
      </c>
    </row>
    <row r="237" spans="1:18" ht="20.100000000000001" customHeight="1" x14ac:dyDescent="0.2">
      <c r="A237" s="377" t="s">
        <v>491</v>
      </c>
      <c r="B237" s="371" t="s">
        <v>220</v>
      </c>
      <c r="C237" s="371">
        <v>4</v>
      </c>
      <c r="D237" s="387">
        <v>2</v>
      </c>
      <c r="E237" s="371" t="s">
        <v>311</v>
      </c>
      <c r="F237" s="371" t="s">
        <v>332</v>
      </c>
      <c r="G237" s="371" t="s">
        <v>217</v>
      </c>
      <c r="H237" s="371" t="s">
        <v>777</v>
      </c>
      <c r="I237" s="371" t="s">
        <v>325</v>
      </c>
      <c r="J237" s="388" t="s">
        <v>300</v>
      </c>
      <c r="K237" s="373" t="str">
        <f>IF(O237="Zauberspruch",L237,O237)</f>
        <v>Wundertat</v>
      </c>
      <c r="L237" s="376" t="s">
        <v>141</v>
      </c>
      <c r="M237" s="376" t="s">
        <v>319</v>
      </c>
      <c r="N237" s="376" t="s">
        <v>322</v>
      </c>
      <c r="O237" s="376" t="s">
        <v>1183</v>
      </c>
      <c r="P237" s="389" t="s">
        <v>75</v>
      </c>
      <c r="Q237" s="367" t="s">
        <v>748</v>
      </c>
      <c r="R237" s="367">
        <v>142</v>
      </c>
    </row>
    <row r="238" spans="1:18" ht="20.100000000000001" customHeight="1" x14ac:dyDescent="0.2">
      <c r="A238" s="377" t="s">
        <v>492</v>
      </c>
      <c r="B238" s="371" t="s">
        <v>219</v>
      </c>
      <c r="C238" s="371">
        <v>1</v>
      </c>
      <c r="D238" s="387">
        <v>2</v>
      </c>
      <c r="E238" s="371" t="s">
        <v>306</v>
      </c>
      <c r="F238" s="371" t="s">
        <v>75</v>
      </c>
      <c r="G238" s="371" t="s">
        <v>216</v>
      </c>
      <c r="H238" s="371" t="s">
        <v>791</v>
      </c>
      <c r="I238" s="371" t="s">
        <v>493</v>
      </c>
      <c r="J238" s="388" t="s">
        <v>300</v>
      </c>
      <c r="K238" s="373" t="str">
        <f>IF(O238="Zauberspruch",L238,O238)</f>
        <v>Wundertat</v>
      </c>
      <c r="L238" s="376" t="s">
        <v>138</v>
      </c>
      <c r="M238" s="376" t="s">
        <v>314</v>
      </c>
      <c r="N238" s="376" t="s">
        <v>309</v>
      </c>
      <c r="O238" s="376" t="s">
        <v>1183</v>
      </c>
      <c r="P238" s="389" t="s">
        <v>75</v>
      </c>
      <c r="Q238" s="367" t="s">
        <v>748</v>
      </c>
      <c r="R238" s="367">
        <v>142</v>
      </c>
    </row>
    <row r="239" spans="1:18" ht="20.100000000000001" customHeight="1" x14ac:dyDescent="0.2">
      <c r="A239" s="377" t="s">
        <v>494</v>
      </c>
      <c r="B239" s="371" t="s">
        <v>219</v>
      </c>
      <c r="C239" s="371">
        <v>5</v>
      </c>
      <c r="D239" s="387" t="s">
        <v>758</v>
      </c>
      <c r="E239" s="371" t="s">
        <v>484</v>
      </c>
      <c r="F239" s="371" t="s">
        <v>332</v>
      </c>
      <c r="G239" s="371" t="s">
        <v>216</v>
      </c>
      <c r="H239" s="371" t="s">
        <v>780</v>
      </c>
      <c r="I239" s="371" t="s">
        <v>493</v>
      </c>
      <c r="J239" s="388" t="s">
        <v>300</v>
      </c>
      <c r="K239" s="373" t="str">
        <f>IF(O239="Zauberspruch",L239,O239)</f>
        <v>Wundertat</v>
      </c>
      <c r="L239" s="376" t="s">
        <v>138</v>
      </c>
      <c r="M239" s="376" t="s">
        <v>319</v>
      </c>
      <c r="N239" s="376" t="s">
        <v>309</v>
      </c>
      <c r="O239" s="376" t="s">
        <v>1183</v>
      </c>
      <c r="P239" s="389" t="s">
        <v>75</v>
      </c>
      <c r="Q239" s="367" t="s">
        <v>748</v>
      </c>
      <c r="R239" s="367">
        <v>142</v>
      </c>
    </row>
    <row r="240" spans="1:18" ht="20.100000000000001" customHeight="1" x14ac:dyDescent="0.2">
      <c r="A240" s="377" t="s">
        <v>495</v>
      </c>
      <c r="B240" s="371" t="s">
        <v>220</v>
      </c>
      <c r="C240" s="371">
        <v>10</v>
      </c>
      <c r="D240" s="372">
        <v>7</v>
      </c>
      <c r="E240" s="371" t="s">
        <v>311</v>
      </c>
      <c r="F240" s="371" t="s">
        <v>25</v>
      </c>
      <c r="G240" s="371" t="s">
        <v>216</v>
      </c>
      <c r="H240" s="371" t="s">
        <v>770</v>
      </c>
      <c r="I240" s="371">
        <v>0</v>
      </c>
      <c r="J240" s="371" t="s">
        <v>370</v>
      </c>
      <c r="K240" s="373" t="str">
        <f>IF(O240="Zauberspruch",L240,O240)</f>
        <v>Zerstören</v>
      </c>
      <c r="L240" s="373" t="s">
        <v>141</v>
      </c>
      <c r="M240" s="374" t="s">
        <v>329</v>
      </c>
      <c r="N240" s="374" t="s">
        <v>302</v>
      </c>
      <c r="O240" s="373" t="s">
        <v>166</v>
      </c>
      <c r="P240" s="368" t="s">
        <v>75</v>
      </c>
      <c r="Q240" s="367" t="s">
        <v>748</v>
      </c>
      <c r="R240" s="367">
        <v>89</v>
      </c>
    </row>
    <row r="241" spans="1:18" ht="20.100000000000001" customHeight="1" x14ac:dyDescent="0.2">
      <c r="A241" s="377" t="s">
        <v>496</v>
      </c>
      <c r="B241" s="371" t="s">
        <v>220</v>
      </c>
      <c r="C241" s="371">
        <v>9</v>
      </c>
      <c r="D241" s="371">
        <v>6</v>
      </c>
      <c r="E241" s="371" t="s">
        <v>354</v>
      </c>
      <c r="F241" s="371" t="s">
        <v>25</v>
      </c>
      <c r="G241" s="371" t="s">
        <v>217</v>
      </c>
      <c r="H241" s="371" t="s">
        <v>497</v>
      </c>
      <c r="I241" s="371" t="s">
        <v>318</v>
      </c>
      <c r="J241" s="371" t="s">
        <v>307</v>
      </c>
      <c r="K241" s="373" t="str">
        <f>IF(O241="Zauberspruch",L241,O241)</f>
        <v>Dweomer</v>
      </c>
      <c r="L241" s="373" t="s">
        <v>148</v>
      </c>
      <c r="M241" s="373" t="s">
        <v>301</v>
      </c>
      <c r="N241" s="373" t="s">
        <v>301</v>
      </c>
      <c r="O241" s="376" t="s">
        <v>146</v>
      </c>
      <c r="P241" s="394" t="s">
        <v>498</v>
      </c>
      <c r="Q241" s="367" t="s">
        <v>748</v>
      </c>
      <c r="R241" s="367">
        <v>153</v>
      </c>
    </row>
    <row r="242" spans="1:18" ht="20.100000000000001" customHeight="1" x14ac:dyDescent="0.2">
      <c r="A242" s="377" t="s">
        <v>1446</v>
      </c>
      <c r="B242" s="371" t="s">
        <v>218</v>
      </c>
      <c r="C242" s="371">
        <v>1</v>
      </c>
      <c r="D242" s="372">
        <v>1</v>
      </c>
      <c r="E242" s="371" t="s">
        <v>304</v>
      </c>
      <c r="F242" s="371" t="s">
        <v>472</v>
      </c>
      <c r="G242" s="371" t="s">
        <v>216</v>
      </c>
      <c r="H242" s="371" t="s">
        <v>770</v>
      </c>
      <c r="I242" s="371">
        <v>0</v>
      </c>
      <c r="J242" s="371" t="s">
        <v>313</v>
      </c>
      <c r="K242" s="373" t="str">
        <f>IF(O242="Zauberspruch",L242,O242)</f>
        <v>Zaubersalz</v>
      </c>
      <c r="L242" s="373" t="s">
        <v>138</v>
      </c>
      <c r="M242" s="374" t="s">
        <v>301</v>
      </c>
      <c r="N242" s="374" t="s">
        <v>302</v>
      </c>
      <c r="O242" s="404" t="s">
        <v>1439</v>
      </c>
      <c r="P242" s="368" t="s">
        <v>1706</v>
      </c>
      <c r="Q242" s="367" t="s">
        <v>1321</v>
      </c>
      <c r="R242" s="367">
        <v>46</v>
      </c>
    </row>
    <row r="243" spans="1:18" ht="20.100000000000001" customHeight="1" x14ac:dyDescent="0.2">
      <c r="A243" s="377" t="s">
        <v>499</v>
      </c>
      <c r="B243" s="371" t="s">
        <v>220</v>
      </c>
      <c r="C243" s="371">
        <v>12</v>
      </c>
      <c r="D243" s="372">
        <v>12</v>
      </c>
      <c r="E243" s="371" t="s">
        <v>324</v>
      </c>
      <c r="F243" s="371" t="s">
        <v>452</v>
      </c>
      <c r="G243" s="371" t="s">
        <v>217</v>
      </c>
      <c r="H243" s="371" t="s">
        <v>783</v>
      </c>
      <c r="I243" s="371" t="s">
        <v>325</v>
      </c>
      <c r="J243" s="371" t="s">
        <v>328</v>
      </c>
      <c r="K243" s="373" t="str">
        <f>IF(O243="Zauberspruch",L243,O243)</f>
        <v>Erschaffen</v>
      </c>
      <c r="L243" s="373" t="s">
        <v>145</v>
      </c>
      <c r="M243" s="374" t="s">
        <v>329</v>
      </c>
      <c r="N243" s="374" t="s">
        <v>329</v>
      </c>
      <c r="O243" s="373" t="s">
        <v>166</v>
      </c>
      <c r="P243" s="368" t="s">
        <v>500</v>
      </c>
      <c r="Q243" s="367" t="s">
        <v>748</v>
      </c>
      <c r="R243" s="367">
        <v>89</v>
      </c>
    </row>
    <row r="244" spans="1:18" ht="20.100000000000001" customHeight="1" x14ac:dyDescent="0.2">
      <c r="A244" s="377" t="s">
        <v>1615</v>
      </c>
      <c r="B244" s="371" t="s">
        <v>220</v>
      </c>
      <c r="C244" s="371">
        <v>1</v>
      </c>
      <c r="D244" s="372">
        <v>1</v>
      </c>
      <c r="E244" s="371" t="s">
        <v>299</v>
      </c>
      <c r="F244" s="371" t="s">
        <v>75</v>
      </c>
      <c r="G244" s="371" t="s">
        <v>217</v>
      </c>
      <c r="H244" s="371" t="s">
        <v>770</v>
      </c>
      <c r="I244" s="371" t="s">
        <v>1616</v>
      </c>
      <c r="J244" s="371" t="s">
        <v>300</v>
      </c>
      <c r="K244" s="373" t="str">
        <f>IF(O244="Zauberspruch",L244,O244)</f>
        <v>Zauberrune</v>
      </c>
      <c r="L244" s="373" t="s">
        <v>138</v>
      </c>
      <c r="M244" s="374" t="s">
        <v>322</v>
      </c>
      <c r="N244" s="374" t="s">
        <v>309</v>
      </c>
      <c r="O244" s="404" t="s">
        <v>1601</v>
      </c>
      <c r="P244" s="368" t="s">
        <v>1721</v>
      </c>
      <c r="Q244" s="367" t="s">
        <v>1321</v>
      </c>
      <c r="R244" s="367">
        <v>72</v>
      </c>
    </row>
    <row r="245" spans="1:18" ht="20.100000000000001" customHeight="1" x14ac:dyDescent="0.2">
      <c r="A245" s="377" t="s">
        <v>501</v>
      </c>
      <c r="B245" s="371" t="s">
        <v>220</v>
      </c>
      <c r="C245" s="371">
        <v>2</v>
      </c>
      <c r="D245" s="387">
        <v>1</v>
      </c>
      <c r="E245" s="371" t="s">
        <v>311</v>
      </c>
      <c r="F245" s="371" t="s">
        <v>25</v>
      </c>
      <c r="G245" s="371" t="s">
        <v>216</v>
      </c>
      <c r="H245" s="371" t="s">
        <v>770</v>
      </c>
      <c r="I245" s="371">
        <v>0</v>
      </c>
      <c r="J245" s="388" t="s">
        <v>300</v>
      </c>
      <c r="K245" s="373" t="str">
        <f>IF(O245="Zauberspruch",L245,O245)</f>
        <v>Wundertat</v>
      </c>
      <c r="L245" s="376" t="s">
        <v>145</v>
      </c>
      <c r="M245" s="376" t="s">
        <v>314</v>
      </c>
      <c r="N245" s="376" t="s">
        <v>308</v>
      </c>
      <c r="O245" s="376" t="s">
        <v>1183</v>
      </c>
      <c r="P245" s="389" t="s">
        <v>75</v>
      </c>
      <c r="Q245" s="367" t="s">
        <v>748</v>
      </c>
      <c r="R245" s="367">
        <v>143</v>
      </c>
    </row>
    <row r="246" spans="1:18" ht="20.100000000000001" customHeight="1" x14ac:dyDescent="0.2">
      <c r="A246" s="377" t="s">
        <v>502</v>
      </c>
      <c r="B246" s="371" t="s">
        <v>220</v>
      </c>
      <c r="C246" s="371">
        <v>5</v>
      </c>
      <c r="D246" s="372">
        <v>3</v>
      </c>
      <c r="E246" s="371" t="s">
        <v>304</v>
      </c>
      <c r="F246" s="371" t="s">
        <v>332</v>
      </c>
      <c r="G246" s="371" t="s">
        <v>217</v>
      </c>
      <c r="H246" s="371" t="s">
        <v>797</v>
      </c>
      <c r="I246" s="371" t="s">
        <v>347</v>
      </c>
      <c r="J246" s="371" t="s">
        <v>313</v>
      </c>
      <c r="K246" s="373" t="str">
        <f>IF(O246="Zauberspruch",L246,O246)</f>
        <v>Erschaffen</v>
      </c>
      <c r="L246" s="373" t="s">
        <v>145</v>
      </c>
      <c r="M246" s="374" t="s">
        <v>329</v>
      </c>
      <c r="N246" s="374" t="s">
        <v>301</v>
      </c>
      <c r="O246" s="373" t="s">
        <v>166</v>
      </c>
      <c r="P246" s="368" t="s">
        <v>503</v>
      </c>
      <c r="Q246" s="367" t="s">
        <v>748</v>
      </c>
      <c r="R246" s="367">
        <v>89</v>
      </c>
    </row>
    <row r="247" spans="1:18" ht="20.100000000000001" customHeight="1" x14ac:dyDescent="0.2">
      <c r="A247" s="377" t="s">
        <v>1532</v>
      </c>
      <c r="B247" s="371" t="s">
        <v>219</v>
      </c>
      <c r="C247" s="371">
        <v>5</v>
      </c>
      <c r="D247" s="372">
        <v>3</v>
      </c>
      <c r="E247" s="371" t="s">
        <v>304</v>
      </c>
      <c r="F247" s="371" t="s">
        <v>332</v>
      </c>
      <c r="G247" s="371" t="s">
        <v>217</v>
      </c>
      <c r="H247" s="371" t="s">
        <v>797</v>
      </c>
      <c r="I247" s="371" t="s">
        <v>347</v>
      </c>
      <c r="J247" s="371" t="s">
        <v>313</v>
      </c>
      <c r="K247" s="373" t="str">
        <f>IF(O247="Zauberspruch",L247,O247)</f>
        <v>Zaubersiegel</v>
      </c>
      <c r="L247" s="373" t="s">
        <v>145</v>
      </c>
      <c r="M247" s="374" t="s">
        <v>329</v>
      </c>
      <c r="N247" s="374" t="s">
        <v>301</v>
      </c>
      <c r="O247" s="404" t="s">
        <v>1322</v>
      </c>
      <c r="P247" s="368" t="s">
        <v>1506</v>
      </c>
      <c r="Q247" s="367" t="s">
        <v>1321</v>
      </c>
      <c r="R247" s="367">
        <v>58</v>
      </c>
    </row>
    <row r="248" spans="1:18" ht="20.100000000000001" customHeight="1" x14ac:dyDescent="0.2">
      <c r="A248" s="377" t="s">
        <v>504</v>
      </c>
      <c r="B248" s="371" t="s">
        <v>220</v>
      </c>
      <c r="C248" s="371">
        <v>4</v>
      </c>
      <c r="D248" s="372">
        <v>2</v>
      </c>
      <c r="E248" s="371" t="s">
        <v>304</v>
      </c>
      <c r="F248" s="371" t="s">
        <v>332</v>
      </c>
      <c r="G248" s="371" t="s">
        <v>217</v>
      </c>
      <c r="H248" s="371" t="s">
        <v>797</v>
      </c>
      <c r="I248" s="371" t="s">
        <v>347</v>
      </c>
      <c r="J248" s="371" t="s">
        <v>313</v>
      </c>
      <c r="K248" s="373" t="str">
        <f>IF(O248="Zauberspruch",L248,O248)</f>
        <v>Erschaffen</v>
      </c>
      <c r="L248" s="373" t="s">
        <v>145</v>
      </c>
      <c r="M248" s="374" t="s">
        <v>329</v>
      </c>
      <c r="N248" s="374" t="s">
        <v>302</v>
      </c>
      <c r="O248" s="373" t="s">
        <v>166</v>
      </c>
      <c r="P248" s="368" t="s">
        <v>505</v>
      </c>
      <c r="Q248" s="367" t="s">
        <v>748</v>
      </c>
      <c r="R248" s="367">
        <v>90</v>
      </c>
    </row>
    <row r="249" spans="1:18" ht="20.100000000000001" customHeight="1" x14ac:dyDescent="0.2">
      <c r="A249" s="377" t="s">
        <v>1533</v>
      </c>
      <c r="B249" s="371" t="s">
        <v>219</v>
      </c>
      <c r="C249" s="371">
        <v>4</v>
      </c>
      <c r="D249" s="372">
        <v>2</v>
      </c>
      <c r="E249" s="371" t="s">
        <v>304</v>
      </c>
      <c r="F249" s="371" t="s">
        <v>332</v>
      </c>
      <c r="G249" s="371" t="s">
        <v>217</v>
      </c>
      <c r="H249" s="371" t="s">
        <v>797</v>
      </c>
      <c r="I249" s="371" t="s">
        <v>347</v>
      </c>
      <c r="J249" s="371" t="s">
        <v>313</v>
      </c>
      <c r="K249" s="373" t="str">
        <f>IF(O249="Zauberspruch",L249,O249)</f>
        <v>Zaubersiegel</v>
      </c>
      <c r="L249" s="373" t="s">
        <v>145</v>
      </c>
      <c r="M249" s="374" t="s">
        <v>329</v>
      </c>
      <c r="N249" s="374" t="s">
        <v>302</v>
      </c>
      <c r="O249" s="404" t="s">
        <v>1322</v>
      </c>
      <c r="P249" s="368" t="s">
        <v>1506</v>
      </c>
      <c r="Q249" s="367" t="s">
        <v>1321</v>
      </c>
      <c r="R249" s="367">
        <v>58</v>
      </c>
    </row>
    <row r="250" spans="1:18" ht="20.100000000000001" customHeight="1" x14ac:dyDescent="0.2">
      <c r="A250" s="377" t="s">
        <v>506</v>
      </c>
      <c r="B250" s="371" t="s">
        <v>220</v>
      </c>
      <c r="C250" s="371">
        <v>1</v>
      </c>
      <c r="D250" s="372">
        <v>1</v>
      </c>
      <c r="E250" s="371" t="s">
        <v>304</v>
      </c>
      <c r="F250" s="371" t="s">
        <v>332</v>
      </c>
      <c r="G250" s="371" t="s">
        <v>217</v>
      </c>
      <c r="H250" s="371" t="s">
        <v>784</v>
      </c>
      <c r="I250" s="371" t="s">
        <v>306</v>
      </c>
      <c r="J250" s="371" t="s">
        <v>328</v>
      </c>
      <c r="K250" s="373" t="str">
        <f>IF(O250="Zauberspruch",L250,O250)</f>
        <v>Formen</v>
      </c>
      <c r="L250" s="373" t="s">
        <v>148</v>
      </c>
      <c r="M250" s="374" t="s">
        <v>329</v>
      </c>
      <c r="N250" s="374" t="s">
        <v>314</v>
      </c>
      <c r="O250" s="373" t="s">
        <v>166</v>
      </c>
      <c r="P250" s="368" t="s">
        <v>507</v>
      </c>
      <c r="Q250" s="367" t="s">
        <v>748</v>
      </c>
      <c r="R250" s="367">
        <v>90</v>
      </c>
    </row>
    <row r="251" spans="1:18" ht="20.100000000000001" customHeight="1" x14ac:dyDescent="0.2">
      <c r="A251" s="377" t="s">
        <v>1484</v>
      </c>
      <c r="B251" s="371" t="s">
        <v>220</v>
      </c>
      <c r="C251" s="371">
        <v>1</v>
      </c>
      <c r="D251" s="372">
        <v>1</v>
      </c>
      <c r="E251" s="371" t="s">
        <v>304</v>
      </c>
      <c r="F251" s="371" t="s">
        <v>332</v>
      </c>
      <c r="G251" s="371" t="s">
        <v>217</v>
      </c>
      <c r="H251" s="371" t="s">
        <v>784</v>
      </c>
      <c r="I251" s="371" t="s">
        <v>306</v>
      </c>
      <c r="J251" s="371" t="s">
        <v>328</v>
      </c>
      <c r="K251" s="373" t="str">
        <f>IF(O251="Zauberspruch",L251,O251)</f>
        <v>Runenstab</v>
      </c>
      <c r="L251" s="373" t="s">
        <v>148</v>
      </c>
      <c r="M251" s="374" t="s">
        <v>329</v>
      </c>
      <c r="N251" s="374" t="s">
        <v>314</v>
      </c>
      <c r="O251" s="404" t="s">
        <v>1472</v>
      </c>
      <c r="P251" s="368" t="s">
        <v>75</v>
      </c>
      <c r="Q251" s="367" t="s">
        <v>1321</v>
      </c>
      <c r="R251" s="367">
        <v>52</v>
      </c>
    </row>
    <row r="252" spans="1:18" ht="20.100000000000001" customHeight="1" x14ac:dyDescent="0.2">
      <c r="A252" s="377" t="s">
        <v>508</v>
      </c>
      <c r="B252" s="371" t="s">
        <v>220</v>
      </c>
      <c r="C252" s="371">
        <v>6</v>
      </c>
      <c r="D252" s="387">
        <v>4</v>
      </c>
      <c r="E252" s="371" t="s">
        <v>306</v>
      </c>
      <c r="F252" s="371" t="s">
        <v>25</v>
      </c>
      <c r="G252" s="371" t="s">
        <v>216</v>
      </c>
      <c r="H252" s="371" t="s">
        <v>770</v>
      </c>
      <c r="I252" s="371">
        <v>0</v>
      </c>
      <c r="J252" s="388" t="s">
        <v>300</v>
      </c>
      <c r="K252" s="373" t="str">
        <f>IF(O252="Zauberspruch",L252,O252)</f>
        <v>Wundertat</v>
      </c>
      <c r="L252" s="376" t="s">
        <v>145</v>
      </c>
      <c r="M252" s="376" t="s">
        <v>301</v>
      </c>
      <c r="N252" s="376" t="s">
        <v>302</v>
      </c>
      <c r="O252" s="376" t="s">
        <v>1183</v>
      </c>
      <c r="P252" s="389" t="s">
        <v>75</v>
      </c>
      <c r="Q252" s="367" t="s">
        <v>748</v>
      </c>
      <c r="R252" s="367">
        <v>143</v>
      </c>
    </row>
    <row r="253" spans="1:18" ht="20.100000000000001" customHeight="1" x14ac:dyDescent="0.2">
      <c r="A253" s="377" t="s">
        <v>509</v>
      </c>
      <c r="B253" s="371" t="s">
        <v>220</v>
      </c>
      <c r="C253" s="371">
        <v>4</v>
      </c>
      <c r="D253" s="387">
        <v>2</v>
      </c>
      <c r="E253" s="371" t="s">
        <v>306</v>
      </c>
      <c r="F253" s="371" t="s">
        <v>25</v>
      </c>
      <c r="G253" s="371" t="s">
        <v>216</v>
      </c>
      <c r="H253" s="371" t="s">
        <v>770</v>
      </c>
      <c r="I253" s="371">
        <v>0</v>
      </c>
      <c r="J253" s="388" t="s">
        <v>300</v>
      </c>
      <c r="K253" s="373" t="str">
        <f>IF(O253="Zauberspruch",L253,O253)</f>
        <v>Wundertat</v>
      </c>
      <c r="L253" s="376" t="s">
        <v>141</v>
      </c>
      <c r="M253" s="376" t="s">
        <v>301</v>
      </c>
      <c r="N253" s="376" t="s">
        <v>329</v>
      </c>
      <c r="O253" s="376" t="s">
        <v>1183</v>
      </c>
      <c r="P253" s="389" t="s">
        <v>75</v>
      </c>
      <c r="Q253" s="367" t="s">
        <v>748</v>
      </c>
      <c r="R253" s="367">
        <v>143</v>
      </c>
    </row>
    <row r="254" spans="1:18" ht="20.100000000000001" customHeight="1" x14ac:dyDescent="0.2">
      <c r="A254" s="377" t="s">
        <v>1436</v>
      </c>
      <c r="B254" s="371" t="s">
        <v>220</v>
      </c>
      <c r="C254" s="371">
        <v>4</v>
      </c>
      <c r="D254" s="372">
        <v>2</v>
      </c>
      <c r="E254" s="371" t="s">
        <v>306</v>
      </c>
      <c r="F254" s="371" t="s">
        <v>25</v>
      </c>
      <c r="G254" s="371" t="s">
        <v>216</v>
      </c>
      <c r="H254" s="371" t="s">
        <v>770</v>
      </c>
      <c r="I254" s="371">
        <v>0</v>
      </c>
      <c r="J254" s="371" t="s">
        <v>300</v>
      </c>
      <c r="K254" s="373" t="str">
        <f>IF(O254="Zauberspruch",L254,O254)</f>
        <v>Thaumatherapie</v>
      </c>
      <c r="L254" s="373" t="s">
        <v>141</v>
      </c>
      <c r="M254" s="374" t="s">
        <v>301</v>
      </c>
      <c r="N254" s="374" t="s">
        <v>329</v>
      </c>
      <c r="O254" s="404" t="s">
        <v>1340</v>
      </c>
      <c r="P254" s="368" t="s">
        <v>75</v>
      </c>
      <c r="Q254" s="367" t="s">
        <v>1321</v>
      </c>
      <c r="R254" s="367">
        <v>86</v>
      </c>
    </row>
    <row r="255" spans="1:18" ht="20.100000000000001" customHeight="1" x14ac:dyDescent="0.2">
      <c r="A255" s="377" t="s">
        <v>510</v>
      </c>
      <c r="B255" s="371" t="s">
        <v>220</v>
      </c>
      <c r="C255" s="371">
        <v>4</v>
      </c>
      <c r="D255" s="387">
        <v>3</v>
      </c>
      <c r="E255" s="371" t="s">
        <v>347</v>
      </c>
      <c r="F255" s="371" t="s">
        <v>25</v>
      </c>
      <c r="G255" s="371" t="s">
        <v>216</v>
      </c>
      <c r="H255" s="371" t="s">
        <v>770</v>
      </c>
      <c r="I255" s="371">
        <v>0</v>
      </c>
      <c r="J255" s="388" t="s">
        <v>300</v>
      </c>
      <c r="K255" s="373" t="str">
        <f>IF(O255="Zauberspruch",L255,O255)</f>
        <v>Wundertat</v>
      </c>
      <c r="L255" s="376" t="s">
        <v>145</v>
      </c>
      <c r="M255" s="376" t="s">
        <v>314</v>
      </c>
      <c r="N255" s="376" t="s">
        <v>302</v>
      </c>
      <c r="O255" s="376" t="s">
        <v>1183</v>
      </c>
      <c r="P255" s="389" t="s">
        <v>75</v>
      </c>
      <c r="Q255" s="367" t="s">
        <v>748</v>
      </c>
      <c r="R255" s="367">
        <v>144</v>
      </c>
    </row>
    <row r="256" spans="1:18" ht="20.100000000000001" customHeight="1" x14ac:dyDescent="0.2">
      <c r="A256" s="377" t="s">
        <v>511</v>
      </c>
      <c r="B256" s="371" t="s">
        <v>218</v>
      </c>
      <c r="C256" s="371">
        <v>2</v>
      </c>
      <c r="D256" s="387">
        <v>2</v>
      </c>
      <c r="E256" s="371" t="s">
        <v>304</v>
      </c>
      <c r="F256" s="371" t="s">
        <v>75</v>
      </c>
      <c r="G256" s="371" t="s">
        <v>216</v>
      </c>
      <c r="H256" s="371" t="s">
        <v>791</v>
      </c>
      <c r="I256" s="371" t="s">
        <v>318</v>
      </c>
      <c r="J256" s="388" t="s">
        <v>300</v>
      </c>
      <c r="K256" s="373" t="str">
        <f>IF(O256="Zauberspruch",L256,O256)</f>
        <v>Wundertat</v>
      </c>
      <c r="L256" s="376" t="s">
        <v>138</v>
      </c>
      <c r="M256" s="376" t="s">
        <v>314</v>
      </c>
      <c r="N256" s="376" t="s">
        <v>302</v>
      </c>
      <c r="O256" s="376" t="s">
        <v>1183</v>
      </c>
      <c r="P256" s="389" t="s">
        <v>75</v>
      </c>
      <c r="Q256" s="367" t="s">
        <v>748</v>
      </c>
      <c r="R256" s="367">
        <v>144</v>
      </c>
    </row>
    <row r="257" spans="1:18" ht="20.100000000000001" customHeight="1" x14ac:dyDescent="0.2">
      <c r="A257" s="377" t="s">
        <v>512</v>
      </c>
      <c r="B257" s="371" t="s">
        <v>219</v>
      </c>
      <c r="C257" s="371">
        <v>7</v>
      </c>
      <c r="D257" s="387">
        <v>6</v>
      </c>
      <c r="E257" s="371" t="s">
        <v>311</v>
      </c>
      <c r="F257" s="371" t="s">
        <v>332</v>
      </c>
      <c r="G257" s="371" t="s">
        <v>216</v>
      </c>
      <c r="H257" s="371" t="s">
        <v>768</v>
      </c>
      <c r="I257" s="371" t="s">
        <v>397</v>
      </c>
      <c r="J257" s="388" t="s">
        <v>300</v>
      </c>
      <c r="K257" s="373" t="str">
        <f>IF(O257="Zauberspruch",L257,O257)</f>
        <v>Wundertat</v>
      </c>
      <c r="L257" s="376" t="s">
        <v>141</v>
      </c>
      <c r="M257" s="376" t="s">
        <v>319</v>
      </c>
      <c r="N257" s="376" t="s">
        <v>322</v>
      </c>
      <c r="O257" s="376" t="s">
        <v>1183</v>
      </c>
      <c r="P257" s="389" t="s">
        <v>75</v>
      </c>
      <c r="Q257" s="367" t="s">
        <v>748</v>
      </c>
      <c r="R257" s="367">
        <v>144</v>
      </c>
    </row>
    <row r="258" spans="1:18" ht="20.100000000000001" customHeight="1" x14ac:dyDescent="0.2">
      <c r="A258" s="377" t="s">
        <v>1617</v>
      </c>
      <c r="B258" s="371" t="s">
        <v>220</v>
      </c>
      <c r="C258" s="371">
        <v>4</v>
      </c>
      <c r="D258" s="372">
        <v>2</v>
      </c>
      <c r="E258" s="371" t="s">
        <v>299</v>
      </c>
      <c r="F258" s="371" t="s">
        <v>75</v>
      </c>
      <c r="G258" s="371" t="s">
        <v>216</v>
      </c>
      <c r="H258" s="371" t="s">
        <v>770</v>
      </c>
      <c r="I258" s="371" t="s">
        <v>1618</v>
      </c>
      <c r="J258" s="371" t="s">
        <v>300</v>
      </c>
      <c r="K258" s="373" t="str">
        <f>IF(O258="Zauberspruch",L258,O258)</f>
        <v>Zauberrune</v>
      </c>
      <c r="L258" s="373" t="s">
        <v>141</v>
      </c>
      <c r="M258" s="374" t="s">
        <v>301</v>
      </c>
      <c r="N258" s="374" t="s">
        <v>329</v>
      </c>
      <c r="O258" s="404" t="s">
        <v>1601</v>
      </c>
      <c r="P258" s="368" t="s">
        <v>1722</v>
      </c>
      <c r="Q258" s="367" t="s">
        <v>1321</v>
      </c>
      <c r="R258" s="367">
        <v>73</v>
      </c>
    </row>
    <row r="259" spans="1:18" ht="20.100000000000001" customHeight="1" x14ac:dyDescent="0.2">
      <c r="A259" s="377" t="s">
        <v>513</v>
      </c>
      <c r="B259" s="371" t="s">
        <v>220</v>
      </c>
      <c r="C259" s="371">
        <v>3</v>
      </c>
      <c r="D259" s="372">
        <v>2</v>
      </c>
      <c r="E259" s="371" t="s">
        <v>347</v>
      </c>
      <c r="F259" s="371" t="s">
        <v>335</v>
      </c>
      <c r="G259" s="371" t="s">
        <v>217</v>
      </c>
      <c r="H259" s="371" t="s">
        <v>774</v>
      </c>
      <c r="I259" s="371" t="s">
        <v>299</v>
      </c>
      <c r="J259" s="371" t="s">
        <v>307</v>
      </c>
      <c r="K259" s="373" t="str">
        <f>IF(O259="Zauberspruch",L259,O259)</f>
        <v>Erkennen</v>
      </c>
      <c r="L259" s="373" t="s">
        <v>143</v>
      </c>
      <c r="M259" s="374" t="s">
        <v>309</v>
      </c>
      <c r="N259" s="374" t="s">
        <v>314</v>
      </c>
      <c r="O259" s="373" t="s">
        <v>166</v>
      </c>
      <c r="P259" s="368" t="s">
        <v>1196</v>
      </c>
      <c r="Q259" s="367" t="s">
        <v>748</v>
      </c>
      <c r="R259" s="367">
        <v>90</v>
      </c>
    </row>
    <row r="260" spans="1:18" ht="20.100000000000001" customHeight="1" x14ac:dyDescent="0.2">
      <c r="A260" s="377" t="s">
        <v>1767</v>
      </c>
      <c r="B260" s="371" t="s">
        <v>220</v>
      </c>
      <c r="C260" s="371">
        <v>12</v>
      </c>
      <c r="D260" s="371" t="s">
        <v>1799</v>
      </c>
      <c r="E260" s="371" t="s">
        <v>532</v>
      </c>
      <c r="F260" s="371" t="s">
        <v>332</v>
      </c>
      <c r="G260" s="371" t="s">
        <v>217</v>
      </c>
      <c r="H260" s="371" t="s">
        <v>787</v>
      </c>
      <c r="I260" s="371" t="s">
        <v>369</v>
      </c>
      <c r="J260" s="371" t="s">
        <v>313</v>
      </c>
      <c r="K260" s="373" t="str">
        <f>IF(O260="Zauberspruch",L260,O260)</f>
        <v>Zerstören</v>
      </c>
      <c r="L260" s="373" t="s">
        <v>141</v>
      </c>
      <c r="M260" s="373" t="s">
        <v>322</v>
      </c>
      <c r="N260" s="373" t="s">
        <v>322</v>
      </c>
      <c r="O260" s="373" t="s">
        <v>166</v>
      </c>
      <c r="P260" s="376" t="s">
        <v>1864</v>
      </c>
      <c r="Q260" s="367" t="s">
        <v>1872</v>
      </c>
      <c r="R260" s="367">
        <v>8</v>
      </c>
    </row>
    <row r="261" spans="1:18" ht="20.100000000000001" customHeight="1" x14ac:dyDescent="0.2">
      <c r="A261" s="377" t="s">
        <v>1783</v>
      </c>
      <c r="B261" s="371" t="s">
        <v>219</v>
      </c>
      <c r="C261" s="388">
        <v>12</v>
      </c>
      <c r="D261" s="388" t="s">
        <v>1428</v>
      </c>
      <c r="E261" s="371" t="s">
        <v>304</v>
      </c>
      <c r="F261" s="372" t="s">
        <v>332</v>
      </c>
      <c r="G261" s="371" t="s">
        <v>217</v>
      </c>
      <c r="H261" s="371" t="s">
        <v>787</v>
      </c>
      <c r="I261" s="371" t="s">
        <v>369</v>
      </c>
      <c r="J261" s="388" t="s">
        <v>313</v>
      </c>
      <c r="K261" s="373" t="str">
        <f>IF(O261="Zauberspruch",L261,O261)</f>
        <v>Zaubersiegel</v>
      </c>
      <c r="L261" s="373" t="s">
        <v>141</v>
      </c>
      <c r="M261" s="373" t="s">
        <v>322</v>
      </c>
      <c r="N261" s="373" t="s">
        <v>322</v>
      </c>
      <c r="O261" s="404" t="s">
        <v>1322</v>
      </c>
      <c r="P261" s="376" t="s">
        <v>1864</v>
      </c>
      <c r="Q261" s="367" t="s">
        <v>1797</v>
      </c>
      <c r="R261" s="367">
        <v>4</v>
      </c>
    </row>
    <row r="262" spans="1:18" ht="20.100000000000001" customHeight="1" x14ac:dyDescent="0.2">
      <c r="A262" s="377" t="s">
        <v>514</v>
      </c>
      <c r="B262" s="371" t="s">
        <v>220</v>
      </c>
      <c r="C262" s="371">
        <v>1</v>
      </c>
      <c r="D262" s="372">
        <v>1</v>
      </c>
      <c r="E262" s="371" t="s">
        <v>311</v>
      </c>
      <c r="F262" s="371" t="s">
        <v>305</v>
      </c>
      <c r="G262" s="371" t="s">
        <v>217</v>
      </c>
      <c r="H262" s="371" t="s">
        <v>774</v>
      </c>
      <c r="I262" s="371" t="s">
        <v>311</v>
      </c>
      <c r="J262" s="371" t="s">
        <v>313</v>
      </c>
      <c r="K262" s="373" t="str">
        <f>IF(O262="Zauberspruch",L262,O262)</f>
        <v>Bewegen</v>
      </c>
      <c r="L262" s="373" t="s">
        <v>140</v>
      </c>
      <c r="M262" s="374" t="s">
        <v>314</v>
      </c>
      <c r="N262" s="374" t="s">
        <v>319</v>
      </c>
      <c r="O262" s="373" t="s">
        <v>166</v>
      </c>
      <c r="P262" s="368" t="s">
        <v>75</v>
      </c>
      <c r="Q262" s="367" t="s">
        <v>748</v>
      </c>
      <c r="R262" s="367">
        <v>91</v>
      </c>
    </row>
    <row r="263" spans="1:18" ht="20.100000000000001" customHeight="1" x14ac:dyDescent="0.2">
      <c r="A263" s="377" t="s">
        <v>1534</v>
      </c>
      <c r="B263" s="371" t="s">
        <v>219</v>
      </c>
      <c r="C263" s="371">
        <v>1</v>
      </c>
      <c r="D263" s="372">
        <v>1</v>
      </c>
      <c r="E263" s="371" t="s">
        <v>304</v>
      </c>
      <c r="F263" s="371" t="s">
        <v>305</v>
      </c>
      <c r="G263" s="371" t="s">
        <v>217</v>
      </c>
      <c r="H263" s="371" t="s">
        <v>774</v>
      </c>
      <c r="I263" s="371" t="s">
        <v>311</v>
      </c>
      <c r="J263" s="371" t="s">
        <v>313</v>
      </c>
      <c r="K263" s="373" t="str">
        <f>IF(O263="Zauberspruch",L263,O263)</f>
        <v>Zaubersiegel</v>
      </c>
      <c r="L263" s="373" t="s">
        <v>140</v>
      </c>
      <c r="M263" s="374" t="s">
        <v>314</v>
      </c>
      <c r="N263" s="374" t="s">
        <v>319</v>
      </c>
      <c r="O263" s="404" t="s">
        <v>1322</v>
      </c>
      <c r="P263" s="368" t="s">
        <v>1520</v>
      </c>
      <c r="Q263" s="367" t="s">
        <v>1321</v>
      </c>
      <c r="R263" s="367">
        <v>58</v>
      </c>
    </row>
    <row r="264" spans="1:18" ht="20.100000000000001" customHeight="1" x14ac:dyDescent="0.2">
      <c r="A264" s="377" t="s">
        <v>1805</v>
      </c>
      <c r="B264" s="371" t="s">
        <v>220</v>
      </c>
      <c r="C264" s="371">
        <v>8</v>
      </c>
      <c r="D264" s="371" t="s">
        <v>1854</v>
      </c>
      <c r="E264" s="371" t="s">
        <v>354</v>
      </c>
      <c r="F264" s="371" t="s">
        <v>25</v>
      </c>
      <c r="G264" s="371" t="s">
        <v>215</v>
      </c>
      <c r="H264" s="371" t="s">
        <v>770</v>
      </c>
      <c r="I264" s="371" t="s">
        <v>316</v>
      </c>
      <c r="J264" s="371" t="s">
        <v>370</v>
      </c>
      <c r="K264" s="373" t="str">
        <f>IF(O264="Zauberspruch",L264,O264)</f>
        <v>Beherrschen</v>
      </c>
      <c r="L264" s="373" t="s">
        <v>137</v>
      </c>
      <c r="M264" s="373" t="s">
        <v>329</v>
      </c>
      <c r="N264" s="373" t="s">
        <v>308</v>
      </c>
      <c r="O264" s="373" t="s">
        <v>166</v>
      </c>
      <c r="P264" s="376" t="s">
        <v>1806</v>
      </c>
      <c r="Q264" s="367" t="s">
        <v>1872</v>
      </c>
      <c r="R264" s="367">
        <v>9</v>
      </c>
    </row>
    <row r="265" spans="1:18" ht="20.100000000000001" customHeight="1" x14ac:dyDescent="0.2">
      <c r="A265" s="377" t="s">
        <v>515</v>
      </c>
      <c r="B265" s="371" t="s">
        <v>220</v>
      </c>
      <c r="C265" s="371">
        <v>5</v>
      </c>
      <c r="D265" s="372">
        <v>2</v>
      </c>
      <c r="E265" s="371" t="s">
        <v>311</v>
      </c>
      <c r="F265" s="371" t="s">
        <v>321</v>
      </c>
      <c r="G265" s="371" t="s">
        <v>216</v>
      </c>
      <c r="H265" s="371" t="s">
        <v>770</v>
      </c>
      <c r="I265" s="371" t="s">
        <v>369</v>
      </c>
      <c r="J265" s="371" t="s">
        <v>313</v>
      </c>
      <c r="K265" s="373" t="str">
        <f>IF(O265="Zauberspruch",L265,O265)</f>
        <v>Verändern</v>
      </c>
      <c r="L265" s="373" t="s">
        <v>138</v>
      </c>
      <c r="M265" s="374" t="s">
        <v>322</v>
      </c>
      <c r="N265" s="374" t="s">
        <v>302</v>
      </c>
      <c r="O265" s="373" t="s">
        <v>166</v>
      </c>
      <c r="P265" s="368" t="s">
        <v>75</v>
      </c>
      <c r="Q265" s="367" t="s">
        <v>748</v>
      </c>
      <c r="R265" s="367">
        <v>91</v>
      </c>
    </row>
    <row r="266" spans="1:18" ht="20.100000000000001" customHeight="1" x14ac:dyDescent="0.2">
      <c r="A266" s="377" t="s">
        <v>516</v>
      </c>
      <c r="B266" s="371" t="s">
        <v>220</v>
      </c>
      <c r="C266" s="371">
        <v>9</v>
      </c>
      <c r="D266" s="372">
        <v>6</v>
      </c>
      <c r="E266" s="371" t="s">
        <v>347</v>
      </c>
      <c r="F266" s="371" t="s">
        <v>359</v>
      </c>
      <c r="G266" s="371" t="s">
        <v>217</v>
      </c>
      <c r="H266" s="371" t="s">
        <v>75</v>
      </c>
      <c r="I266" s="371" t="s">
        <v>306</v>
      </c>
      <c r="J266" s="371" t="s">
        <v>300</v>
      </c>
      <c r="K266" s="373" t="str">
        <f>IF(O266="Zauberspruch",L266,O266)</f>
        <v>Erschaffen</v>
      </c>
      <c r="L266" s="373" t="s">
        <v>145</v>
      </c>
      <c r="M266" s="374" t="s">
        <v>319</v>
      </c>
      <c r="N266" s="374" t="s">
        <v>308</v>
      </c>
      <c r="O266" s="373" t="s">
        <v>166</v>
      </c>
      <c r="P266" s="368" t="s">
        <v>75</v>
      </c>
      <c r="Q266" s="367" t="s">
        <v>748</v>
      </c>
      <c r="R266" s="367">
        <v>91</v>
      </c>
    </row>
    <row r="267" spans="1:18" ht="20.100000000000001" customHeight="1" x14ac:dyDescent="0.2">
      <c r="A267" s="377" t="s">
        <v>1187</v>
      </c>
      <c r="B267" s="371" t="s">
        <v>220</v>
      </c>
      <c r="C267" s="371">
        <v>4</v>
      </c>
      <c r="D267" s="387">
        <v>3</v>
      </c>
      <c r="E267" s="371" t="s">
        <v>347</v>
      </c>
      <c r="F267" s="371" t="s">
        <v>25</v>
      </c>
      <c r="G267" s="371" t="s">
        <v>217</v>
      </c>
      <c r="H267" s="371" t="s">
        <v>770</v>
      </c>
      <c r="I267" s="371" t="s">
        <v>800</v>
      </c>
      <c r="J267" s="388" t="s">
        <v>300</v>
      </c>
      <c r="K267" s="373" t="str">
        <f>IF(O267="Zauberspruch",L267,O267)</f>
        <v>Wundertat</v>
      </c>
      <c r="L267" s="376" t="s">
        <v>140</v>
      </c>
      <c r="M267" s="376" t="s">
        <v>314</v>
      </c>
      <c r="N267" s="376" t="s">
        <v>302</v>
      </c>
      <c r="O267" s="376" t="s">
        <v>1183</v>
      </c>
      <c r="P267" s="389" t="s">
        <v>75</v>
      </c>
      <c r="Q267" s="367" t="s">
        <v>748</v>
      </c>
      <c r="R267" s="367">
        <v>145</v>
      </c>
    </row>
    <row r="268" spans="1:18" ht="20.100000000000001" customHeight="1" x14ac:dyDescent="0.2">
      <c r="A268" s="377" t="s">
        <v>1188</v>
      </c>
      <c r="B268" s="371" t="s">
        <v>219</v>
      </c>
      <c r="C268" s="371">
        <v>4</v>
      </c>
      <c r="D268" s="387" t="s">
        <v>517</v>
      </c>
      <c r="E268" s="371" t="s">
        <v>311</v>
      </c>
      <c r="F268" s="371" t="s">
        <v>518</v>
      </c>
      <c r="G268" s="371" t="s">
        <v>215</v>
      </c>
      <c r="H268" s="371" t="s">
        <v>772</v>
      </c>
      <c r="I268" s="371" t="s">
        <v>306</v>
      </c>
      <c r="J268" s="388" t="s">
        <v>300</v>
      </c>
      <c r="K268" s="373" t="str">
        <f>IF(O268="Zauberspruch",L268,O268)</f>
        <v>Wundertat</v>
      </c>
      <c r="L268" s="376" t="s">
        <v>137</v>
      </c>
      <c r="M268" s="376" t="s">
        <v>322</v>
      </c>
      <c r="N268" s="376" t="s">
        <v>309</v>
      </c>
      <c r="O268" s="376" t="s">
        <v>1183</v>
      </c>
      <c r="P268" s="389" t="s">
        <v>75</v>
      </c>
      <c r="Q268" s="367" t="s">
        <v>748</v>
      </c>
      <c r="R268" s="367">
        <v>145</v>
      </c>
    </row>
    <row r="269" spans="1:18" ht="20.100000000000001" customHeight="1" x14ac:dyDescent="0.2">
      <c r="A269" s="377" t="s">
        <v>519</v>
      </c>
      <c r="B269" s="371" t="s">
        <v>218</v>
      </c>
      <c r="C269" s="371">
        <v>2</v>
      </c>
      <c r="D269" s="372">
        <v>1</v>
      </c>
      <c r="E269" s="371" t="s">
        <v>304</v>
      </c>
      <c r="F269" s="371" t="s">
        <v>75</v>
      </c>
      <c r="G269" s="371" t="s">
        <v>216</v>
      </c>
      <c r="H269" s="371" t="s">
        <v>791</v>
      </c>
      <c r="I269" s="371" t="s">
        <v>318</v>
      </c>
      <c r="J269" s="371" t="s">
        <v>313</v>
      </c>
      <c r="K269" s="373" t="str">
        <f>IF(O269="Zauberspruch",L269,O269)</f>
        <v>Verändern</v>
      </c>
      <c r="L269" s="373" t="s">
        <v>138</v>
      </c>
      <c r="M269" s="374" t="s">
        <v>309</v>
      </c>
      <c r="N269" s="374" t="s">
        <v>302</v>
      </c>
      <c r="O269" s="373" t="s">
        <v>166</v>
      </c>
      <c r="P269" s="368" t="s">
        <v>75</v>
      </c>
      <c r="Q269" s="367" t="s">
        <v>748</v>
      </c>
      <c r="R269" s="367">
        <v>91</v>
      </c>
    </row>
    <row r="270" spans="1:18" ht="20.100000000000001" customHeight="1" x14ac:dyDescent="0.2">
      <c r="A270" s="377" t="s">
        <v>1535</v>
      </c>
      <c r="B270" s="371" t="s">
        <v>219</v>
      </c>
      <c r="C270" s="371">
        <v>2</v>
      </c>
      <c r="D270" s="372">
        <v>1</v>
      </c>
      <c r="E270" s="371" t="s">
        <v>304</v>
      </c>
      <c r="F270" s="371" t="s">
        <v>75</v>
      </c>
      <c r="G270" s="371" t="s">
        <v>216</v>
      </c>
      <c r="H270" s="371" t="s">
        <v>770</v>
      </c>
      <c r="I270" s="371" t="s">
        <v>318</v>
      </c>
      <c r="J270" s="371" t="s">
        <v>313</v>
      </c>
      <c r="K270" s="373" t="str">
        <f>IF(O270="Zauberspruch",L270,O270)</f>
        <v>Zaubersiegel</v>
      </c>
      <c r="L270" s="373" t="s">
        <v>138</v>
      </c>
      <c r="M270" s="374" t="s">
        <v>309</v>
      </c>
      <c r="N270" s="374" t="s">
        <v>302</v>
      </c>
      <c r="O270" s="404" t="s">
        <v>1322</v>
      </c>
      <c r="P270" s="368" t="s">
        <v>1524</v>
      </c>
      <c r="Q270" s="367" t="s">
        <v>1321</v>
      </c>
      <c r="R270" s="367">
        <v>58</v>
      </c>
    </row>
    <row r="271" spans="1:18" ht="20.100000000000001" customHeight="1" x14ac:dyDescent="0.2">
      <c r="A271" s="377" t="s">
        <v>1447</v>
      </c>
      <c r="B271" s="371" t="s">
        <v>218</v>
      </c>
      <c r="C271" s="371">
        <v>1</v>
      </c>
      <c r="D271" s="372">
        <v>1</v>
      </c>
      <c r="E271" s="371" t="s">
        <v>304</v>
      </c>
      <c r="F271" s="371" t="s">
        <v>472</v>
      </c>
      <c r="G271" s="371" t="s">
        <v>216</v>
      </c>
      <c r="H271" s="371" t="s">
        <v>770</v>
      </c>
      <c r="I271" s="371" t="s">
        <v>493</v>
      </c>
      <c r="J271" s="371" t="s">
        <v>313</v>
      </c>
      <c r="K271" s="373" t="str">
        <f>IF(O271="Zauberspruch",L271,O271)</f>
        <v>Zaubersalz</v>
      </c>
      <c r="L271" s="373" t="s">
        <v>141</v>
      </c>
      <c r="M271" s="374" t="s">
        <v>308</v>
      </c>
      <c r="N271" s="374" t="s">
        <v>309</v>
      </c>
      <c r="O271" s="404" t="s">
        <v>1439</v>
      </c>
      <c r="P271" s="368" t="s">
        <v>1706</v>
      </c>
      <c r="Q271" s="367" t="s">
        <v>1321</v>
      </c>
      <c r="R271" s="367">
        <v>46</v>
      </c>
    </row>
    <row r="272" spans="1:18" ht="20.100000000000001" customHeight="1" x14ac:dyDescent="0.2">
      <c r="A272" s="377" t="s">
        <v>520</v>
      </c>
      <c r="B272" s="371" t="s">
        <v>220</v>
      </c>
      <c r="C272" s="371">
        <v>3</v>
      </c>
      <c r="D272" s="372">
        <v>2</v>
      </c>
      <c r="E272" s="371" t="s">
        <v>311</v>
      </c>
      <c r="F272" s="371" t="s">
        <v>359</v>
      </c>
      <c r="G272" s="371" t="s">
        <v>217</v>
      </c>
      <c r="H272" s="371" t="s">
        <v>75</v>
      </c>
      <c r="I272" s="371" t="s">
        <v>453</v>
      </c>
      <c r="J272" s="371" t="s">
        <v>521</v>
      </c>
      <c r="K272" s="373" t="str">
        <f>IF(O272="Zauberspruch",L272,O272)</f>
        <v>Bewegen</v>
      </c>
      <c r="L272" s="373" t="s">
        <v>140</v>
      </c>
      <c r="M272" s="374" t="s">
        <v>314</v>
      </c>
      <c r="N272" s="374" t="s">
        <v>308</v>
      </c>
      <c r="O272" s="373" t="s">
        <v>166</v>
      </c>
      <c r="P272" s="368" t="s">
        <v>522</v>
      </c>
      <c r="Q272" s="367" t="s">
        <v>748</v>
      </c>
      <c r="R272" s="367">
        <v>92</v>
      </c>
    </row>
    <row r="273" spans="1:18" ht="20.100000000000001" customHeight="1" x14ac:dyDescent="0.2">
      <c r="A273" s="377" t="s">
        <v>523</v>
      </c>
      <c r="B273" s="371" t="s">
        <v>218</v>
      </c>
      <c r="C273" s="371">
        <v>5</v>
      </c>
      <c r="D273" s="372" t="s">
        <v>759</v>
      </c>
      <c r="E273" s="371" t="s">
        <v>311</v>
      </c>
      <c r="F273" s="371" t="s">
        <v>332</v>
      </c>
      <c r="G273" s="371" t="s">
        <v>216</v>
      </c>
      <c r="H273" s="371" t="s">
        <v>780</v>
      </c>
      <c r="I273" s="371" t="s">
        <v>801</v>
      </c>
      <c r="J273" s="371" t="s">
        <v>313</v>
      </c>
      <c r="K273" s="373" t="str">
        <f>IF(O273="Zauberspruch",L273,O273)</f>
        <v>Erkennen</v>
      </c>
      <c r="L273" s="373" t="s">
        <v>143</v>
      </c>
      <c r="M273" s="374" t="s">
        <v>329</v>
      </c>
      <c r="N273" s="374" t="s">
        <v>314</v>
      </c>
      <c r="O273" s="373" t="s">
        <v>166</v>
      </c>
      <c r="P273" s="368" t="s">
        <v>75</v>
      </c>
      <c r="Q273" s="367" t="s">
        <v>748</v>
      </c>
      <c r="R273" s="367">
        <v>92</v>
      </c>
    </row>
    <row r="274" spans="1:18" ht="20.100000000000001" customHeight="1" x14ac:dyDescent="0.2">
      <c r="A274" s="377" t="s">
        <v>524</v>
      </c>
      <c r="B274" s="371" t="s">
        <v>218</v>
      </c>
      <c r="C274" s="371">
        <v>1</v>
      </c>
      <c r="D274" s="372">
        <v>1</v>
      </c>
      <c r="E274" s="371" t="s">
        <v>347</v>
      </c>
      <c r="F274" s="371" t="s">
        <v>25</v>
      </c>
      <c r="G274" s="371" t="s">
        <v>216</v>
      </c>
      <c r="H274" s="371" t="s">
        <v>770</v>
      </c>
      <c r="I274" s="371" t="s">
        <v>306</v>
      </c>
      <c r="J274" s="371" t="s">
        <v>313</v>
      </c>
      <c r="K274" s="373" t="str">
        <f>IF(O274="Zauberspruch",L274,O274)</f>
        <v>Verändern</v>
      </c>
      <c r="L274" s="373" t="s">
        <v>138</v>
      </c>
      <c r="M274" s="374" t="s">
        <v>322</v>
      </c>
      <c r="N274" s="374" t="s">
        <v>309</v>
      </c>
      <c r="O274" s="373" t="s">
        <v>166</v>
      </c>
      <c r="P274" s="368" t="s">
        <v>75</v>
      </c>
      <c r="Q274" s="367" t="s">
        <v>748</v>
      </c>
      <c r="R274" s="367">
        <v>93</v>
      </c>
    </row>
    <row r="275" spans="1:18" ht="20.100000000000001" customHeight="1" x14ac:dyDescent="0.2">
      <c r="A275" s="377" t="s">
        <v>525</v>
      </c>
      <c r="B275" s="371" t="s">
        <v>219</v>
      </c>
      <c r="C275" s="371">
        <v>2</v>
      </c>
      <c r="D275" s="372">
        <v>1</v>
      </c>
      <c r="E275" s="371" t="s">
        <v>304</v>
      </c>
      <c r="F275" s="371" t="s">
        <v>332</v>
      </c>
      <c r="G275" s="371" t="s">
        <v>217</v>
      </c>
      <c r="H275" s="371" t="s">
        <v>785</v>
      </c>
      <c r="I275" s="371" t="s">
        <v>311</v>
      </c>
      <c r="J275" s="371" t="s">
        <v>313</v>
      </c>
      <c r="K275" s="373" t="str">
        <f>IF(O275="Zauberspruch",L275,O275)</f>
        <v>Formen</v>
      </c>
      <c r="L275" s="373" t="s">
        <v>148</v>
      </c>
      <c r="M275" s="374" t="s">
        <v>322</v>
      </c>
      <c r="N275" s="374" t="s">
        <v>314</v>
      </c>
      <c r="O275" s="373" t="s">
        <v>166</v>
      </c>
      <c r="P275" s="368" t="s">
        <v>75</v>
      </c>
      <c r="Q275" s="367" t="s">
        <v>748</v>
      </c>
      <c r="R275" s="367">
        <v>93</v>
      </c>
    </row>
    <row r="276" spans="1:18" ht="20.100000000000001" customHeight="1" x14ac:dyDescent="0.2">
      <c r="A276" s="377" t="s">
        <v>1485</v>
      </c>
      <c r="B276" s="371" t="s">
        <v>220</v>
      </c>
      <c r="C276" s="371">
        <v>2</v>
      </c>
      <c r="D276" s="372">
        <v>1</v>
      </c>
      <c r="E276" s="371" t="s">
        <v>304</v>
      </c>
      <c r="F276" s="371" t="s">
        <v>332</v>
      </c>
      <c r="G276" s="371" t="s">
        <v>217</v>
      </c>
      <c r="H276" s="371" t="s">
        <v>785</v>
      </c>
      <c r="I276" s="371" t="s">
        <v>311</v>
      </c>
      <c r="J276" s="371" t="s">
        <v>313</v>
      </c>
      <c r="K276" s="373" t="str">
        <f>IF(O276="Zauberspruch",L276,O276)</f>
        <v>Runenstab</v>
      </c>
      <c r="L276" s="373" t="s">
        <v>148</v>
      </c>
      <c r="M276" s="374" t="s">
        <v>322</v>
      </c>
      <c r="N276" s="374" t="s">
        <v>314</v>
      </c>
      <c r="O276" s="404" t="s">
        <v>1472</v>
      </c>
      <c r="P276" s="368" t="s">
        <v>75</v>
      </c>
      <c r="Q276" s="367" t="s">
        <v>1321</v>
      </c>
      <c r="R276" s="367">
        <v>52</v>
      </c>
    </row>
    <row r="277" spans="1:18" ht="20.100000000000001" customHeight="1" x14ac:dyDescent="0.2">
      <c r="A277" s="377" t="s">
        <v>1843</v>
      </c>
      <c r="B277" s="371" t="s">
        <v>220</v>
      </c>
      <c r="C277" s="371">
        <v>12</v>
      </c>
      <c r="D277" s="371" t="s">
        <v>1799</v>
      </c>
      <c r="E277" s="371" t="s">
        <v>532</v>
      </c>
      <c r="F277" s="371" t="s">
        <v>332</v>
      </c>
      <c r="G277" s="371" t="s">
        <v>217</v>
      </c>
      <c r="H277" s="371" t="s">
        <v>1859</v>
      </c>
      <c r="I277" s="371" t="s">
        <v>369</v>
      </c>
      <c r="J277" s="371" t="s">
        <v>307</v>
      </c>
      <c r="K277" s="373" t="str">
        <f>IF(O277="Zauberspruch",L277,O277)</f>
        <v>Dweomer</v>
      </c>
      <c r="L277" s="373" t="s">
        <v>141</v>
      </c>
      <c r="M277" s="373" t="s">
        <v>301</v>
      </c>
      <c r="N277" s="373" t="s">
        <v>329</v>
      </c>
      <c r="O277" s="376" t="s">
        <v>146</v>
      </c>
      <c r="P277" s="376" t="s">
        <v>1870</v>
      </c>
      <c r="Q277" s="367" t="s">
        <v>1872</v>
      </c>
      <c r="R277" s="367">
        <v>22</v>
      </c>
    </row>
    <row r="278" spans="1:18" ht="20.100000000000001" customHeight="1" x14ac:dyDescent="0.2">
      <c r="A278" s="377" t="s">
        <v>1619</v>
      </c>
      <c r="B278" s="371" t="s">
        <v>220</v>
      </c>
      <c r="C278" s="371">
        <v>4</v>
      </c>
      <c r="D278" s="372">
        <v>2</v>
      </c>
      <c r="E278" s="371" t="s">
        <v>299</v>
      </c>
      <c r="F278" s="371" t="s">
        <v>75</v>
      </c>
      <c r="G278" s="371" t="s">
        <v>215</v>
      </c>
      <c r="H278" s="371" t="s">
        <v>770</v>
      </c>
      <c r="I278" s="371" t="s">
        <v>369</v>
      </c>
      <c r="J278" s="371" t="s">
        <v>300</v>
      </c>
      <c r="K278" s="373" t="str">
        <f>IF(O278="Zauberspruch",L278,O278)</f>
        <v>Zauberrune</v>
      </c>
      <c r="L278" s="373" t="s">
        <v>137</v>
      </c>
      <c r="M278" s="374" t="s">
        <v>319</v>
      </c>
      <c r="N278" s="374" t="s">
        <v>309</v>
      </c>
      <c r="O278" s="404" t="s">
        <v>1601</v>
      </c>
      <c r="P278" s="368" t="s">
        <v>1723</v>
      </c>
      <c r="Q278" s="367" t="s">
        <v>1321</v>
      </c>
      <c r="R278" s="367">
        <v>73</v>
      </c>
    </row>
    <row r="279" spans="1:18" ht="20.100000000000001" customHeight="1" x14ac:dyDescent="0.2">
      <c r="A279" s="377" t="s">
        <v>1448</v>
      </c>
      <c r="B279" s="371" t="s">
        <v>218</v>
      </c>
      <c r="C279" s="371">
        <v>1</v>
      </c>
      <c r="D279" s="372">
        <v>1</v>
      </c>
      <c r="E279" s="371" t="s">
        <v>304</v>
      </c>
      <c r="F279" s="371" t="s">
        <v>472</v>
      </c>
      <c r="G279" s="371" t="s">
        <v>216</v>
      </c>
      <c r="H279" s="371" t="s">
        <v>770</v>
      </c>
      <c r="I279" s="371">
        <v>0</v>
      </c>
      <c r="J279" s="371" t="s">
        <v>313</v>
      </c>
      <c r="K279" s="373" t="str">
        <f>IF(O279="Zauberspruch",L279,O279)</f>
        <v>Zaubersalz</v>
      </c>
      <c r="L279" s="373" t="s">
        <v>138</v>
      </c>
      <c r="M279" s="374" t="s">
        <v>308</v>
      </c>
      <c r="N279" s="374" t="s">
        <v>302</v>
      </c>
      <c r="O279" s="404" t="s">
        <v>1439</v>
      </c>
      <c r="P279" s="368" t="s">
        <v>1706</v>
      </c>
      <c r="Q279" s="367" t="s">
        <v>1321</v>
      </c>
      <c r="R279" s="367">
        <v>47</v>
      </c>
    </row>
    <row r="280" spans="1:18" ht="20.100000000000001" customHeight="1" x14ac:dyDescent="0.2">
      <c r="A280" s="377" t="s">
        <v>1449</v>
      </c>
      <c r="B280" s="371" t="s">
        <v>218</v>
      </c>
      <c r="C280" s="371">
        <v>2</v>
      </c>
      <c r="D280" s="372">
        <v>1</v>
      </c>
      <c r="E280" s="371" t="s">
        <v>304</v>
      </c>
      <c r="F280" s="371" t="s">
        <v>472</v>
      </c>
      <c r="G280" s="371" t="s">
        <v>216</v>
      </c>
      <c r="H280" s="371" t="s">
        <v>770</v>
      </c>
      <c r="I280" s="371" t="s">
        <v>306</v>
      </c>
      <c r="J280" s="371" t="s">
        <v>313</v>
      </c>
      <c r="K280" s="373" t="str">
        <f>IF(O280="Zauberspruch",L280,O280)</f>
        <v>Zaubersalz</v>
      </c>
      <c r="L280" s="373" t="s">
        <v>138</v>
      </c>
      <c r="M280" s="374" t="s">
        <v>308</v>
      </c>
      <c r="N280" s="374" t="s">
        <v>302</v>
      </c>
      <c r="O280" s="404" t="s">
        <v>1439</v>
      </c>
      <c r="P280" s="368" t="s">
        <v>1706</v>
      </c>
      <c r="Q280" s="367" t="s">
        <v>1321</v>
      </c>
      <c r="R280" s="367">
        <v>47</v>
      </c>
    </row>
    <row r="281" spans="1:18" ht="20.100000000000001" customHeight="1" x14ac:dyDescent="0.2">
      <c r="A281" s="377" t="s">
        <v>526</v>
      </c>
      <c r="B281" s="371" t="s">
        <v>220</v>
      </c>
      <c r="C281" s="371">
        <v>5</v>
      </c>
      <c r="D281" s="372">
        <v>2</v>
      </c>
      <c r="E281" s="371" t="s">
        <v>311</v>
      </c>
      <c r="F281" s="371" t="s">
        <v>472</v>
      </c>
      <c r="G281" s="371" t="s">
        <v>217</v>
      </c>
      <c r="H281" s="371" t="s">
        <v>774</v>
      </c>
      <c r="I281" s="371" t="s">
        <v>299</v>
      </c>
      <c r="J281" s="371" t="s">
        <v>313</v>
      </c>
      <c r="K281" s="373" t="str">
        <f>IF(O281="Zauberspruch",L281,O281)</f>
        <v>Bewegen</v>
      </c>
      <c r="L281" s="373" t="s">
        <v>140</v>
      </c>
      <c r="M281" s="374" t="s">
        <v>302</v>
      </c>
      <c r="N281" s="374" t="s">
        <v>308</v>
      </c>
      <c r="O281" s="373" t="s">
        <v>166</v>
      </c>
      <c r="P281" s="368" t="s">
        <v>1197</v>
      </c>
      <c r="Q281" s="367" t="s">
        <v>748</v>
      </c>
      <c r="R281" s="367">
        <v>93</v>
      </c>
    </row>
    <row r="282" spans="1:18" ht="20.100000000000001" customHeight="1" x14ac:dyDescent="0.2">
      <c r="A282" s="377" t="s">
        <v>1620</v>
      </c>
      <c r="B282" s="371" t="s">
        <v>220</v>
      </c>
      <c r="C282" s="371">
        <v>2</v>
      </c>
      <c r="D282" s="372">
        <v>1</v>
      </c>
      <c r="E282" s="371" t="s">
        <v>299</v>
      </c>
      <c r="F282" s="371" t="s">
        <v>25</v>
      </c>
      <c r="G282" s="371" t="s">
        <v>216</v>
      </c>
      <c r="H282" s="371" t="s">
        <v>770</v>
      </c>
      <c r="I282" s="371" t="s">
        <v>1618</v>
      </c>
      <c r="J282" s="371" t="s">
        <v>300</v>
      </c>
      <c r="K282" s="373" t="str">
        <f>IF(O282="Zauberspruch",L282,O282)</f>
        <v>Zauberrune</v>
      </c>
      <c r="L282" s="373" t="s">
        <v>138</v>
      </c>
      <c r="M282" s="374" t="s">
        <v>308</v>
      </c>
      <c r="N282" s="374" t="s">
        <v>302</v>
      </c>
      <c r="O282" s="404" t="s">
        <v>1601</v>
      </c>
      <c r="P282" s="368" t="s">
        <v>1724</v>
      </c>
      <c r="Q282" s="367" t="s">
        <v>1321</v>
      </c>
      <c r="R282" s="367">
        <v>73</v>
      </c>
    </row>
    <row r="283" spans="1:18" ht="20.100000000000001" customHeight="1" x14ac:dyDescent="0.2">
      <c r="A283" s="377" t="s">
        <v>527</v>
      </c>
      <c r="B283" s="371" t="s">
        <v>218</v>
      </c>
      <c r="C283" s="371">
        <v>2</v>
      </c>
      <c r="D283" s="372">
        <v>1</v>
      </c>
      <c r="E283" s="371" t="s">
        <v>304</v>
      </c>
      <c r="F283" s="371" t="s">
        <v>75</v>
      </c>
      <c r="G283" s="371" t="s">
        <v>216</v>
      </c>
      <c r="H283" s="371" t="s">
        <v>791</v>
      </c>
      <c r="I283" s="371" t="s">
        <v>318</v>
      </c>
      <c r="J283" s="371" t="s">
        <v>313</v>
      </c>
      <c r="K283" s="373" t="str">
        <f>IF(O283="Zauberspruch",L283,O283)</f>
        <v>Verändern</v>
      </c>
      <c r="L283" s="373" t="s">
        <v>138</v>
      </c>
      <c r="M283" s="374" t="s">
        <v>308</v>
      </c>
      <c r="N283" s="374" t="s">
        <v>302</v>
      </c>
      <c r="O283" s="373" t="s">
        <v>166</v>
      </c>
      <c r="P283" s="368" t="s">
        <v>75</v>
      </c>
      <c r="Q283" s="367" t="s">
        <v>748</v>
      </c>
      <c r="R283" s="367">
        <v>94</v>
      </c>
    </row>
    <row r="284" spans="1:18" ht="20.100000000000001" customHeight="1" x14ac:dyDescent="0.2">
      <c r="A284" s="377" t="s">
        <v>1536</v>
      </c>
      <c r="B284" s="371" t="s">
        <v>219</v>
      </c>
      <c r="C284" s="371">
        <v>2</v>
      </c>
      <c r="D284" s="372">
        <v>1</v>
      </c>
      <c r="E284" s="371" t="s">
        <v>304</v>
      </c>
      <c r="F284" s="371" t="s">
        <v>75</v>
      </c>
      <c r="G284" s="371" t="s">
        <v>216</v>
      </c>
      <c r="H284" s="371" t="s">
        <v>770</v>
      </c>
      <c r="I284" s="371" t="s">
        <v>318</v>
      </c>
      <c r="J284" s="371" t="s">
        <v>313</v>
      </c>
      <c r="K284" s="373" t="str">
        <f>IF(O284="Zauberspruch",L284,O284)</f>
        <v>Zaubersiegel</v>
      </c>
      <c r="L284" s="373" t="s">
        <v>138</v>
      </c>
      <c r="M284" s="374" t="s">
        <v>308</v>
      </c>
      <c r="N284" s="374" t="s">
        <v>302</v>
      </c>
      <c r="O284" s="404" t="s">
        <v>1322</v>
      </c>
      <c r="P284" s="368" t="s">
        <v>1524</v>
      </c>
      <c r="Q284" s="367" t="s">
        <v>1321</v>
      </c>
      <c r="R284" s="367">
        <v>58</v>
      </c>
    </row>
    <row r="285" spans="1:18" ht="20.100000000000001" customHeight="1" x14ac:dyDescent="0.2">
      <c r="A285" s="377" t="s">
        <v>1393</v>
      </c>
      <c r="B285" s="371" t="s">
        <v>218</v>
      </c>
      <c r="C285" s="371">
        <v>2</v>
      </c>
      <c r="D285" s="372">
        <v>1</v>
      </c>
      <c r="E285" s="371" t="s">
        <v>311</v>
      </c>
      <c r="F285" s="371" t="s">
        <v>75</v>
      </c>
      <c r="G285" s="371" t="s">
        <v>216</v>
      </c>
      <c r="H285" s="371" t="s">
        <v>791</v>
      </c>
      <c r="I285" s="371" t="s">
        <v>299</v>
      </c>
      <c r="J285" s="371" t="s">
        <v>307</v>
      </c>
      <c r="K285" s="373" t="str">
        <f>IF(O285="Zauberspruch",L285,O285)</f>
        <v>Dweomer</v>
      </c>
      <c r="L285" s="373" t="s">
        <v>138</v>
      </c>
      <c r="M285" s="374" t="s">
        <v>301</v>
      </c>
      <c r="N285" s="374" t="s">
        <v>308</v>
      </c>
      <c r="O285" s="404" t="s">
        <v>146</v>
      </c>
      <c r="P285" s="368" t="s">
        <v>75</v>
      </c>
      <c r="Q285" s="367" t="s">
        <v>1321</v>
      </c>
      <c r="R285" s="367">
        <v>93</v>
      </c>
    </row>
    <row r="286" spans="1:18" ht="20.100000000000001" customHeight="1" x14ac:dyDescent="0.2">
      <c r="A286" s="377" t="s">
        <v>1486</v>
      </c>
      <c r="B286" s="371" t="s">
        <v>220</v>
      </c>
      <c r="C286" s="371">
        <v>11</v>
      </c>
      <c r="D286" s="372">
        <v>6</v>
      </c>
      <c r="E286" s="371" t="s">
        <v>304</v>
      </c>
      <c r="F286" s="371" t="s">
        <v>332</v>
      </c>
      <c r="G286" s="371" t="s">
        <v>217</v>
      </c>
      <c r="H286" s="371" t="s">
        <v>777</v>
      </c>
      <c r="I286" s="371" t="s">
        <v>306</v>
      </c>
      <c r="J286" s="371" t="s">
        <v>313</v>
      </c>
      <c r="K286" s="373" t="str">
        <f>IF(O286="Zauberspruch",L286,O286)</f>
        <v>Runenstab</v>
      </c>
      <c r="L286" s="373" t="s">
        <v>143</v>
      </c>
      <c r="M286" s="374" t="s">
        <v>322</v>
      </c>
      <c r="N286" s="374" t="s">
        <v>322</v>
      </c>
      <c r="O286" s="404" t="s">
        <v>1472</v>
      </c>
      <c r="P286" s="368" t="s">
        <v>75</v>
      </c>
      <c r="Q286" s="367" t="s">
        <v>1321</v>
      </c>
      <c r="R286" s="367">
        <v>52</v>
      </c>
    </row>
    <row r="287" spans="1:18" ht="20.100000000000001" customHeight="1" x14ac:dyDescent="0.2">
      <c r="A287" s="377" t="s">
        <v>1621</v>
      </c>
      <c r="B287" s="371" t="s">
        <v>220</v>
      </c>
      <c r="C287" s="371">
        <v>7</v>
      </c>
      <c r="D287" s="372">
        <v>5</v>
      </c>
      <c r="E287" s="371" t="s">
        <v>306</v>
      </c>
      <c r="F287" s="371" t="s">
        <v>75</v>
      </c>
      <c r="G287" s="371" t="s">
        <v>217</v>
      </c>
      <c r="H287" s="371" t="s">
        <v>774</v>
      </c>
      <c r="I287" s="371" t="s">
        <v>1622</v>
      </c>
      <c r="J287" s="371" t="s">
        <v>300</v>
      </c>
      <c r="K287" s="373" t="str">
        <f>IF(O287="Zauberspruch",L287,O287)</f>
        <v>Zauberrune</v>
      </c>
      <c r="L287" s="373" t="s">
        <v>138</v>
      </c>
      <c r="M287" s="374" t="s">
        <v>322</v>
      </c>
      <c r="N287" s="374" t="s">
        <v>319</v>
      </c>
      <c r="O287" s="404" t="s">
        <v>1601</v>
      </c>
      <c r="P287" s="368" t="s">
        <v>1725</v>
      </c>
      <c r="Q287" s="367" t="s">
        <v>1321</v>
      </c>
      <c r="R287" s="367">
        <v>73</v>
      </c>
    </row>
    <row r="288" spans="1:18" ht="20.100000000000001" customHeight="1" x14ac:dyDescent="0.2">
      <c r="A288" s="377" t="s">
        <v>1450</v>
      </c>
      <c r="B288" s="371" t="s">
        <v>218</v>
      </c>
      <c r="C288" s="371">
        <v>2</v>
      </c>
      <c r="D288" s="372">
        <v>1</v>
      </c>
      <c r="E288" s="371" t="s">
        <v>304</v>
      </c>
      <c r="F288" s="371" t="s">
        <v>472</v>
      </c>
      <c r="G288" s="371" t="s">
        <v>217</v>
      </c>
      <c r="H288" s="371" t="s">
        <v>780</v>
      </c>
      <c r="I288" s="371">
        <v>0</v>
      </c>
      <c r="J288" s="371" t="s">
        <v>313</v>
      </c>
      <c r="K288" s="373" t="str">
        <f>IF(O288="Zauberspruch",L288,O288)</f>
        <v>Zaubersalz</v>
      </c>
      <c r="L288" s="373" t="s">
        <v>148</v>
      </c>
      <c r="M288" s="374" t="s">
        <v>322</v>
      </c>
      <c r="N288" s="374" t="s">
        <v>314</v>
      </c>
      <c r="O288" s="404" t="s">
        <v>1439</v>
      </c>
      <c r="P288" s="368" t="s">
        <v>1706</v>
      </c>
      <c r="Q288" s="367" t="s">
        <v>1321</v>
      </c>
      <c r="R288" s="367">
        <v>47</v>
      </c>
    </row>
    <row r="289" spans="1:18" ht="20.100000000000001" customHeight="1" x14ac:dyDescent="0.2">
      <c r="A289" s="377" t="s">
        <v>1649</v>
      </c>
      <c r="B289" s="371" t="s">
        <v>220</v>
      </c>
      <c r="C289" s="371">
        <v>5</v>
      </c>
      <c r="D289" s="372">
        <v>2</v>
      </c>
      <c r="E289" s="371" t="s">
        <v>299</v>
      </c>
      <c r="F289" s="371" t="s">
        <v>332</v>
      </c>
      <c r="G289" s="371" t="s">
        <v>217</v>
      </c>
      <c r="H289" s="371" t="s">
        <v>774</v>
      </c>
      <c r="I289" s="371" t="s">
        <v>369</v>
      </c>
      <c r="J289" s="371" t="s">
        <v>307</v>
      </c>
      <c r="K289" s="373" t="str">
        <f>IF(O289="Zauberspruch",L289,O289)</f>
        <v>Erhaltung</v>
      </c>
      <c r="L289" s="373" t="s">
        <v>148</v>
      </c>
      <c r="M289" s="374" t="s">
        <v>301</v>
      </c>
      <c r="N289" s="374" t="s">
        <v>322</v>
      </c>
      <c r="O289" s="404" t="s">
        <v>1650</v>
      </c>
      <c r="P289" s="368" t="s">
        <v>75</v>
      </c>
      <c r="Q289" s="367" t="s">
        <v>1321</v>
      </c>
      <c r="R289" s="367">
        <v>123</v>
      </c>
    </row>
    <row r="290" spans="1:18" ht="20.100000000000001" customHeight="1" x14ac:dyDescent="0.2">
      <c r="A290" s="377" t="s">
        <v>528</v>
      </c>
      <c r="B290" s="371" t="s">
        <v>220</v>
      </c>
      <c r="C290" s="371">
        <v>2</v>
      </c>
      <c r="D290" s="372">
        <v>1</v>
      </c>
      <c r="E290" s="371" t="s">
        <v>304</v>
      </c>
      <c r="F290" s="371" t="s">
        <v>25</v>
      </c>
      <c r="G290" s="371" t="s">
        <v>216</v>
      </c>
      <c r="H290" s="371" t="s">
        <v>770</v>
      </c>
      <c r="I290" s="371">
        <v>0</v>
      </c>
      <c r="J290" s="371" t="s">
        <v>370</v>
      </c>
      <c r="K290" s="373" t="str">
        <f>IF(O290="Zauberspruch",L290,O290)</f>
        <v>Zerstören</v>
      </c>
      <c r="L290" s="373" t="s">
        <v>141</v>
      </c>
      <c r="M290" s="374" t="s">
        <v>329</v>
      </c>
      <c r="N290" s="374" t="s">
        <v>308</v>
      </c>
      <c r="O290" s="373" t="s">
        <v>166</v>
      </c>
      <c r="P290" s="368" t="s">
        <v>75</v>
      </c>
      <c r="Q290" s="367" t="s">
        <v>748</v>
      </c>
      <c r="R290" s="367">
        <v>94</v>
      </c>
    </row>
    <row r="291" spans="1:18" ht="20.100000000000001" customHeight="1" x14ac:dyDescent="0.2">
      <c r="A291" s="377" t="s">
        <v>1394</v>
      </c>
      <c r="B291" s="371" t="s">
        <v>218</v>
      </c>
      <c r="C291" s="371">
        <v>4</v>
      </c>
      <c r="D291" s="372">
        <v>2</v>
      </c>
      <c r="E291" s="371" t="s">
        <v>311</v>
      </c>
      <c r="F291" s="371" t="s">
        <v>25</v>
      </c>
      <c r="G291" s="371" t="s">
        <v>216</v>
      </c>
      <c r="H291" s="371" t="s">
        <v>1396</v>
      </c>
      <c r="I291" s="371" t="s">
        <v>306</v>
      </c>
      <c r="J291" s="371" t="s">
        <v>307</v>
      </c>
      <c r="K291" s="373" t="str">
        <f>IF(O291="Zauberspruch",L291,O291)</f>
        <v>Dweomer</v>
      </c>
      <c r="L291" s="373" t="s">
        <v>138</v>
      </c>
      <c r="M291" s="374" t="s">
        <v>301</v>
      </c>
      <c r="N291" s="374" t="s">
        <v>308</v>
      </c>
      <c r="O291" s="404" t="s">
        <v>146</v>
      </c>
      <c r="P291" s="368" t="s">
        <v>75</v>
      </c>
      <c r="Q291" s="367" t="s">
        <v>1321</v>
      </c>
      <c r="R291" s="367">
        <v>93</v>
      </c>
    </row>
    <row r="292" spans="1:18" ht="20.100000000000001" customHeight="1" x14ac:dyDescent="0.2">
      <c r="A292" s="377" t="s">
        <v>1537</v>
      </c>
      <c r="B292" s="371" t="s">
        <v>219</v>
      </c>
      <c r="C292" s="371">
        <v>2</v>
      </c>
      <c r="D292" s="372">
        <v>1</v>
      </c>
      <c r="E292" s="371" t="s">
        <v>304</v>
      </c>
      <c r="F292" s="371" t="s">
        <v>25</v>
      </c>
      <c r="G292" s="371" t="s">
        <v>216</v>
      </c>
      <c r="H292" s="371" t="s">
        <v>770</v>
      </c>
      <c r="I292" s="371">
        <v>0</v>
      </c>
      <c r="J292" s="371" t="s">
        <v>313</v>
      </c>
      <c r="K292" s="373" t="str">
        <f>IF(O292="Zauberspruch",L292,O292)</f>
        <v>Zaubersiegel</v>
      </c>
      <c r="L292" s="373" t="s">
        <v>145</v>
      </c>
      <c r="M292" s="374" t="s">
        <v>322</v>
      </c>
      <c r="N292" s="374" t="s">
        <v>308</v>
      </c>
      <c r="O292" s="404" t="s">
        <v>1322</v>
      </c>
      <c r="P292" s="368" t="s">
        <v>1524</v>
      </c>
      <c r="Q292" s="367" t="s">
        <v>1321</v>
      </c>
      <c r="R292" s="367">
        <v>58</v>
      </c>
    </row>
    <row r="293" spans="1:18" s="378" customFormat="1" ht="20.100000000000001" customHeight="1" x14ac:dyDescent="0.2">
      <c r="A293" s="377" t="s">
        <v>529</v>
      </c>
      <c r="B293" s="371" t="s">
        <v>220</v>
      </c>
      <c r="C293" s="371">
        <v>3</v>
      </c>
      <c r="D293" s="372">
        <v>2</v>
      </c>
      <c r="E293" s="371" t="s">
        <v>311</v>
      </c>
      <c r="F293" s="371" t="s">
        <v>305</v>
      </c>
      <c r="G293" s="371" t="s">
        <v>217</v>
      </c>
      <c r="H293" s="371" t="s">
        <v>423</v>
      </c>
      <c r="I293" s="371" t="s">
        <v>325</v>
      </c>
      <c r="J293" s="371" t="s">
        <v>313</v>
      </c>
      <c r="K293" s="373" t="str">
        <f>IF(O293="Zauberspruch",L293,O293)</f>
        <v>Zerstören</v>
      </c>
      <c r="L293" s="373" t="s">
        <v>141</v>
      </c>
      <c r="M293" s="374" t="s">
        <v>322</v>
      </c>
      <c r="N293" s="374" t="s">
        <v>308</v>
      </c>
      <c r="O293" s="373" t="s">
        <v>166</v>
      </c>
      <c r="P293" s="368" t="s">
        <v>75</v>
      </c>
      <c r="Q293" s="367" t="s">
        <v>748</v>
      </c>
      <c r="R293" s="367">
        <v>94</v>
      </c>
    </row>
    <row r="294" spans="1:18" s="378" customFormat="1" ht="20.100000000000001" customHeight="1" x14ac:dyDescent="0.2">
      <c r="A294" s="377" t="s">
        <v>530</v>
      </c>
      <c r="B294" s="371" t="s">
        <v>220</v>
      </c>
      <c r="C294" s="371">
        <v>1</v>
      </c>
      <c r="D294" s="371">
        <v>1</v>
      </c>
      <c r="E294" s="371" t="s">
        <v>304</v>
      </c>
      <c r="F294" s="371" t="s">
        <v>305</v>
      </c>
      <c r="G294" s="371" t="s">
        <v>216</v>
      </c>
      <c r="H294" s="371" t="s">
        <v>770</v>
      </c>
      <c r="I294" s="371">
        <v>0</v>
      </c>
      <c r="J294" s="371" t="s">
        <v>307</v>
      </c>
      <c r="K294" s="373" t="str">
        <f>IF(O294="Zauberspruch",L294,O294)</f>
        <v>Dweomer</v>
      </c>
      <c r="L294" s="373" t="s">
        <v>140</v>
      </c>
      <c r="M294" s="373" t="s">
        <v>301</v>
      </c>
      <c r="N294" s="373" t="s">
        <v>308</v>
      </c>
      <c r="O294" s="376" t="s">
        <v>146</v>
      </c>
      <c r="P294" s="394" t="s">
        <v>75</v>
      </c>
      <c r="Q294" s="367" t="s">
        <v>748</v>
      </c>
      <c r="R294" s="367">
        <v>153</v>
      </c>
    </row>
    <row r="295" spans="1:18" ht="20.100000000000001" customHeight="1" x14ac:dyDescent="0.2">
      <c r="A295" s="377" t="s">
        <v>1395</v>
      </c>
      <c r="B295" s="371" t="s">
        <v>220</v>
      </c>
      <c r="C295" s="371">
        <v>2</v>
      </c>
      <c r="D295" s="372">
        <v>1</v>
      </c>
      <c r="E295" s="371" t="s">
        <v>311</v>
      </c>
      <c r="F295" s="371" t="s">
        <v>75</v>
      </c>
      <c r="G295" s="371" t="s">
        <v>216</v>
      </c>
      <c r="H295" s="371" t="s">
        <v>791</v>
      </c>
      <c r="I295" s="371" t="s">
        <v>318</v>
      </c>
      <c r="J295" s="371" t="s">
        <v>307</v>
      </c>
      <c r="K295" s="373" t="str">
        <f>IF(O295="Zauberspruch",L295,O295)</f>
        <v>Dweomer</v>
      </c>
      <c r="L295" s="373" t="s">
        <v>138</v>
      </c>
      <c r="M295" s="374" t="s">
        <v>301</v>
      </c>
      <c r="N295" s="374" t="s">
        <v>302</v>
      </c>
      <c r="O295" s="404" t="s">
        <v>146</v>
      </c>
      <c r="P295" s="368" t="s">
        <v>75</v>
      </c>
      <c r="Q295" s="367" t="s">
        <v>1321</v>
      </c>
      <c r="R295" s="367">
        <v>93</v>
      </c>
    </row>
    <row r="296" spans="1:18" ht="20.100000000000001" customHeight="1" x14ac:dyDescent="0.2">
      <c r="A296" s="377" t="s">
        <v>1451</v>
      </c>
      <c r="B296" s="371" t="s">
        <v>218</v>
      </c>
      <c r="C296" s="371">
        <v>1</v>
      </c>
      <c r="D296" s="372">
        <v>1</v>
      </c>
      <c r="E296" s="371" t="s">
        <v>304</v>
      </c>
      <c r="F296" s="371" t="s">
        <v>472</v>
      </c>
      <c r="G296" s="371" t="s">
        <v>216</v>
      </c>
      <c r="H296" s="371" t="s">
        <v>770</v>
      </c>
      <c r="I296" s="371" t="s">
        <v>493</v>
      </c>
      <c r="J296" s="371" t="s">
        <v>313</v>
      </c>
      <c r="K296" s="373" t="str">
        <f>IF(O296="Zauberspruch",L296,O296)</f>
        <v>Zaubersalz</v>
      </c>
      <c r="L296" s="373" t="s">
        <v>141</v>
      </c>
      <c r="M296" s="374" t="s">
        <v>329</v>
      </c>
      <c r="N296" s="374" t="s">
        <v>308</v>
      </c>
      <c r="O296" s="404" t="s">
        <v>1439</v>
      </c>
      <c r="P296" s="368" t="s">
        <v>1706</v>
      </c>
      <c r="Q296" s="367" t="s">
        <v>1321</v>
      </c>
      <c r="R296" s="367">
        <v>47</v>
      </c>
    </row>
    <row r="297" spans="1:18" ht="20.100000000000001" customHeight="1" x14ac:dyDescent="0.2">
      <c r="A297" s="377" t="s">
        <v>1419</v>
      </c>
      <c r="B297" s="371" t="s">
        <v>220</v>
      </c>
      <c r="C297" s="371">
        <v>3</v>
      </c>
      <c r="D297" s="372">
        <v>2</v>
      </c>
      <c r="E297" s="371" t="s">
        <v>484</v>
      </c>
      <c r="F297" s="371" t="s">
        <v>25</v>
      </c>
      <c r="G297" s="371" t="s">
        <v>215</v>
      </c>
      <c r="H297" s="371" t="s">
        <v>770</v>
      </c>
      <c r="I297" s="371" t="s">
        <v>299</v>
      </c>
      <c r="J297" s="371" t="s">
        <v>313</v>
      </c>
      <c r="K297" s="373" t="str">
        <f>IF(O297="Zauberspruch",L297,O297)</f>
        <v>Thaumatherapie</v>
      </c>
      <c r="L297" s="373" t="s">
        <v>138</v>
      </c>
      <c r="M297" s="374" t="s">
        <v>322</v>
      </c>
      <c r="N297" s="374" t="s">
        <v>308</v>
      </c>
      <c r="O297" s="404" t="s">
        <v>1340</v>
      </c>
      <c r="P297" s="368" t="s">
        <v>75</v>
      </c>
      <c r="Q297" s="367" t="s">
        <v>1321</v>
      </c>
      <c r="R297" s="367">
        <v>86</v>
      </c>
    </row>
    <row r="298" spans="1:18" ht="20.100000000000001" customHeight="1" x14ac:dyDescent="0.2">
      <c r="A298" s="377" t="s">
        <v>1844</v>
      </c>
      <c r="B298" s="371" t="s">
        <v>220</v>
      </c>
      <c r="C298" s="371">
        <v>4</v>
      </c>
      <c r="D298" s="371">
        <v>2</v>
      </c>
      <c r="E298" s="371" t="s">
        <v>311</v>
      </c>
      <c r="F298" s="371" t="s">
        <v>305</v>
      </c>
      <c r="G298" s="371" t="s">
        <v>217</v>
      </c>
      <c r="H298" s="371" t="s">
        <v>770</v>
      </c>
      <c r="I298" s="371" t="s">
        <v>347</v>
      </c>
      <c r="J298" s="371" t="s">
        <v>307</v>
      </c>
      <c r="K298" s="373" t="str">
        <f>IF(O298="Zauberspruch",L298,O298)</f>
        <v>Dweomer</v>
      </c>
      <c r="L298" s="373" t="s">
        <v>140</v>
      </c>
      <c r="M298" s="373" t="s">
        <v>301</v>
      </c>
      <c r="N298" s="373" t="s">
        <v>302</v>
      </c>
      <c r="O298" s="376" t="s">
        <v>146</v>
      </c>
      <c r="P298" s="376" t="s">
        <v>1845</v>
      </c>
      <c r="Q298" s="367" t="s">
        <v>1872</v>
      </c>
      <c r="R298" s="367">
        <v>22</v>
      </c>
    </row>
    <row r="299" spans="1:18" ht="20.100000000000001" customHeight="1" x14ac:dyDescent="0.2">
      <c r="A299" s="377" t="s">
        <v>1807</v>
      </c>
      <c r="B299" s="371" t="s">
        <v>220</v>
      </c>
      <c r="C299" s="371">
        <v>11</v>
      </c>
      <c r="D299" s="371" t="s">
        <v>1854</v>
      </c>
      <c r="E299" s="371" t="s">
        <v>311</v>
      </c>
      <c r="F299" s="371" t="s">
        <v>25</v>
      </c>
      <c r="G299" s="371" t="s">
        <v>215</v>
      </c>
      <c r="H299" s="371" t="s">
        <v>770</v>
      </c>
      <c r="I299" s="371" t="s">
        <v>369</v>
      </c>
      <c r="J299" s="371" t="s">
        <v>313</v>
      </c>
      <c r="K299" s="373" t="str">
        <f>IF(O299="Zauberspruch",L299,O299)</f>
        <v>Beherrschen</v>
      </c>
      <c r="L299" s="373" t="s">
        <v>137</v>
      </c>
      <c r="M299" s="373" t="s">
        <v>322</v>
      </c>
      <c r="N299" s="373" t="s">
        <v>314</v>
      </c>
      <c r="O299" s="373" t="s">
        <v>166</v>
      </c>
      <c r="P299" s="376" t="s">
        <v>75</v>
      </c>
      <c r="Q299" s="367" t="s">
        <v>1872</v>
      </c>
      <c r="R299" s="367">
        <v>9</v>
      </c>
    </row>
    <row r="300" spans="1:18" ht="20.100000000000001" customHeight="1" x14ac:dyDescent="0.2">
      <c r="A300" s="377" t="s">
        <v>1452</v>
      </c>
      <c r="B300" s="371" t="s">
        <v>218</v>
      </c>
      <c r="C300" s="371">
        <v>1</v>
      </c>
      <c r="D300" s="372">
        <v>1</v>
      </c>
      <c r="E300" s="371" t="s">
        <v>304</v>
      </c>
      <c r="F300" s="371" t="s">
        <v>472</v>
      </c>
      <c r="G300" s="371" t="s">
        <v>215</v>
      </c>
      <c r="H300" s="371" t="s">
        <v>770</v>
      </c>
      <c r="I300" s="371" t="s">
        <v>318</v>
      </c>
      <c r="J300" s="371" t="s">
        <v>313</v>
      </c>
      <c r="K300" s="373" t="str">
        <f>IF(O300="Zauberspruch",L300,O300)</f>
        <v>Zaubersalz</v>
      </c>
      <c r="L300" s="373" t="s">
        <v>137</v>
      </c>
      <c r="M300" s="374" t="s">
        <v>314</v>
      </c>
      <c r="N300" s="374" t="s">
        <v>314</v>
      </c>
      <c r="O300" s="404" t="s">
        <v>1439</v>
      </c>
      <c r="P300" s="368" t="s">
        <v>1706</v>
      </c>
      <c r="Q300" s="367" t="s">
        <v>1321</v>
      </c>
      <c r="R300" s="367">
        <v>47</v>
      </c>
    </row>
    <row r="301" spans="1:18" ht="20.100000000000001" customHeight="1" x14ac:dyDescent="0.2">
      <c r="A301" s="377" t="s">
        <v>531</v>
      </c>
      <c r="B301" s="371" t="s">
        <v>220</v>
      </c>
      <c r="C301" s="371">
        <v>10</v>
      </c>
      <c r="D301" s="372">
        <v>8</v>
      </c>
      <c r="E301" s="371" t="s">
        <v>354</v>
      </c>
      <c r="F301" s="371" t="s">
        <v>305</v>
      </c>
      <c r="G301" s="371" t="s">
        <v>216</v>
      </c>
      <c r="H301" s="371" t="s">
        <v>770</v>
      </c>
      <c r="I301" s="371" t="s">
        <v>532</v>
      </c>
      <c r="J301" s="371" t="s">
        <v>313</v>
      </c>
      <c r="K301" s="373" t="str">
        <f>IF(O301="Zauberspruch",L301,O301)</f>
        <v>Verändern</v>
      </c>
      <c r="L301" s="373" t="s">
        <v>138</v>
      </c>
      <c r="M301" s="374" t="s">
        <v>319</v>
      </c>
      <c r="N301" s="374" t="s">
        <v>302</v>
      </c>
      <c r="O301" s="373" t="s">
        <v>166</v>
      </c>
      <c r="P301" s="368" t="s">
        <v>533</v>
      </c>
      <c r="Q301" s="367" t="s">
        <v>748</v>
      </c>
      <c r="R301" s="367">
        <v>94</v>
      </c>
    </row>
    <row r="302" spans="1:18" ht="20.100000000000001" customHeight="1" x14ac:dyDescent="0.2">
      <c r="A302" s="377" t="s">
        <v>534</v>
      </c>
      <c r="B302" s="371" t="s">
        <v>220</v>
      </c>
      <c r="C302" s="371">
        <v>5</v>
      </c>
      <c r="D302" s="371">
        <v>3</v>
      </c>
      <c r="E302" s="371" t="s">
        <v>311</v>
      </c>
      <c r="F302" s="371" t="s">
        <v>75</v>
      </c>
      <c r="G302" s="371" t="s">
        <v>216</v>
      </c>
      <c r="H302" s="371" t="s">
        <v>791</v>
      </c>
      <c r="I302" s="371" t="s">
        <v>306</v>
      </c>
      <c r="J302" s="371" t="s">
        <v>307</v>
      </c>
      <c r="K302" s="373" t="str">
        <f>IF(O302="Zauberspruch",L302,O302)</f>
        <v>Dweomer</v>
      </c>
      <c r="L302" s="373" t="s">
        <v>138</v>
      </c>
      <c r="M302" s="373" t="s">
        <v>301</v>
      </c>
      <c r="N302" s="373" t="s">
        <v>302</v>
      </c>
      <c r="O302" s="376" t="s">
        <v>146</v>
      </c>
      <c r="P302" s="394" t="s">
        <v>75</v>
      </c>
      <c r="Q302" s="367" t="s">
        <v>748</v>
      </c>
      <c r="R302" s="367">
        <v>154</v>
      </c>
    </row>
    <row r="303" spans="1:18" ht="20.100000000000001" customHeight="1" x14ac:dyDescent="0.2">
      <c r="A303" s="377" t="s">
        <v>535</v>
      </c>
      <c r="B303" s="371" t="s">
        <v>218</v>
      </c>
      <c r="C303" s="371">
        <v>1</v>
      </c>
      <c r="D303" s="372">
        <v>1</v>
      </c>
      <c r="E303" s="371" t="s">
        <v>347</v>
      </c>
      <c r="F303" s="371" t="s">
        <v>536</v>
      </c>
      <c r="G303" s="371" t="s">
        <v>217</v>
      </c>
      <c r="H303" s="371" t="s">
        <v>75</v>
      </c>
      <c r="I303" s="371" t="s">
        <v>439</v>
      </c>
      <c r="J303" s="371" t="s">
        <v>313</v>
      </c>
      <c r="K303" s="373" t="str">
        <f>IF(O303="Zauberspruch",L303,O303)</f>
        <v>Formen</v>
      </c>
      <c r="L303" s="373" t="s">
        <v>148</v>
      </c>
      <c r="M303" s="374" t="s">
        <v>322</v>
      </c>
      <c r="N303" s="374" t="s">
        <v>319</v>
      </c>
      <c r="O303" s="373" t="s">
        <v>166</v>
      </c>
      <c r="P303" s="368" t="s">
        <v>75</v>
      </c>
      <c r="Q303" s="367" t="s">
        <v>748</v>
      </c>
      <c r="R303" s="367">
        <v>95</v>
      </c>
    </row>
    <row r="304" spans="1:18" ht="20.100000000000001" customHeight="1" x14ac:dyDescent="0.2">
      <c r="A304" s="377" t="s">
        <v>1538</v>
      </c>
      <c r="B304" s="371" t="s">
        <v>219</v>
      </c>
      <c r="C304" s="371">
        <v>1</v>
      </c>
      <c r="D304" s="372">
        <v>1</v>
      </c>
      <c r="E304" s="371" t="s">
        <v>304</v>
      </c>
      <c r="F304" s="371" t="s">
        <v>536</v>
      </c>
      <c r="G304" s="371" t="s">
        <v>217</v>
      </c>
      <c r="H304" s="371" t="s">
        <v>75</v>
      </c>
      <c r="I304" s="371" t="s">
        <v>484</v>
      </c>
      <c r="J304" s="371" t="s">
        <v>313</v>
      </c>
      <c r="K304" s="373" t="str">
        <f>IF(O304="Zauberspruch",L304,O304)</f>
        <v>Zaubersiegel</v>
      </c>
      <c r="L304" s="373" t="s">
        <v>148</v>
      </c>
      <c r="M304" s="374" t="s">
        <v>322</v>
      </c>
      <c r="N304" s="374" t="s">
        <v>319</v>
      </c>
      <c r="O304" s="404" t="s">
        <v>1322</v>
      </c>
      <c r="P304" s="368" t="s">
        <v>1528</v>
      </c>
      <c r="Q304" s="367" t="s">
        <v>1321</v>
      </c>
      <c r="R304" s="367">
        <v>58</v>
      </c>
    </row>
    <row r="305" spans="1:18" ht="20.100000000000001" customHeight="1" x14ac:dyDescent="0.2">
      <c r="A305" s="377" t="s">
        <v>537</v>
      </c>
      <c r="B305" s="371" t="s">
        <v>220</v>
      </c>
      <c r="C305" s="371">
        <v>3</v>
      </c>
      <c r="D305" s="371" t="s">
        <v>755</v>
      </c>
      <c r="E305" s="371" t="s">
        <v>311</v>
      </c>
      <c r="F305" s="371" t="s">
        <v>25</v>
      </c>
      <c r="G305" s="371" t="s">
        <v>217</v>
      </c>
      <c r="H305" s="371" t="s">
        <v>798</v>
      </c>
      <c r="I305" s="371" t="s">
        <v>318</v>
      </c>
      <c r="J305" s="371" t="s">
        <v>307</v>
      </c>
      <c r="K305" s="373" t="str">
        <f>IF(O305="Zauberspruch",L305,O305)</f>
        <v>Dweomer</v>
      </c>
      <c r="L305" s="373" t="s">
        <v>145</v>
      </c>
      <c r="M305" s="373" t="s">
        <v>301</v>
      </c>
      <c r="N305" s="373" t="s">
        <v>301</v>
      </c>
      <c r="O305" s="376" t="s">
        <v>146</v>
      </c>
      <c r="P305" s="394" t="s">
        <v>464</v>
      </c>
      <c r="Q305" s="367" t="s">
        <v>748</v>
      </c>
      <c r="R305" s="367">
        <v>154</v>
      </c>
    </row>
    <row r="306" spans="1:18" ht="20.100000000000001" customHeight="1" x14ac:dyDescent="0.2">
      <c r="A306" s="377" t="s">
        <v>538</v>
      </c>
      <c r="B306" s="371" t="s">
        <v>220</v>
      </c>
      <c r="C306" s="371">
        <v>5</v>
      </c>
      <c r="D306" s="371">
        <v>2</v>
      </c>
      <c r="E306" s="371" t="s">
        <v>311</v>
      </c>
      <c r="F306" s="371" t="s">
        <v>25</v>
      </c>
      <c r="G306" s="371" t="s">
        <v>217</v>
      </c>
      <c r="H306" s="371" t="s">
        <v>774</v>
      </c>
      <c r="I306" s="371" t="s">
        <v>318</v>
      </c>
      <c r="J306" s="371" t="s">
        <v>307</v>
      </c>
      <c r="K306" s="373" t="str">
        <f>IF(O306="Zauberspruch",L306,O306)</f>
        <v>Dweomer</v>
      </c>
      <c r="L306" s="373" t="s">
        <v>148</v>
      </c>
      <c r="M306" s="373" t="s">
        <v>301</v>
      </c>
      <c r="N306" s="373" t="s">
        <v>301</v>
      </c>
      <c r="O306" s="376" t="s">
        <v>146</v>
      </c>
      <c r="P306" s="394" t="s">
        <v>1198</v>
      </c>
      <c r="Q306" s="367" t="s">
        <v>748</v>
      </c>
      <c r="R306" s="367">
        <v>154</v>
      </c>
    </row>
    <row r="307" spans="1:18" ht="20.100000000000001" customHeight="1" x14ac:dyDescent="0.2">
      <c r="A307" s="377" t="s">
        <v>539</v>
      </c>
      <c r="B307" s="371" t="s">
        <v>220</v>
      </c>
      <c r="C307" s="371">
        <v>5</v>
      </c>
      <c r="D307" s="371">
        <v>3</v>
      </c>
      <c r="E307" s="371" t="s">
        <v>347</v>
      </c>
      <c r="F307" s="371" t="s">
        <v>25</v>
      </c>
      <c r="G307" s="371" t="s">
        <v>216</v>
      </c>
      <c r="H307" s="371" t="s">
        <v>770</v>
      </c>
      <c r="I307" s="371">
        <v>0</v>
      </c>
      <c r="J307" s="371" t="s">
        <v>307</v>
      </c>
      <c r="K307" s="373" t="str">
        <f>IF(O307="Zauberspruch",L307,O307)</f>
        <v>Dweomer</v>
      </c>
      <c r="L307" s="373" t="s">
        <v>145</v>
      </c>
      <c r="M307" s="373" t="s">
        <v>301</v>
      </c>
      <c r="N307" s="373" t="s">
        <v>302</v>
      </c>
      <c r="O307" s="376" t="s">
        <v>146</v>
      </c>
      <c r="P307" s="394" t="s">
        <v>75</v>
      </c>
      <c r="Q307" s="367" t="s">
        <v>748</v>
      </c>
      <c r="R307" s="367">
        <v>154</v>
      </c>
    </row>
    <row r="308" spans="1:18" ht="20.100000000000001" customHeight="1" x14ac:dyDescent="0.2">
      <c r="A308" s="377" t="s">
        <v>540</v>
      </c>
      <c r="B308" s="371" t="s">
        <v>220</v>
      </c>
      <c r="C308" s="371">
        <v>4</v>
      </c>
      <c r="D308" s="371">
        <v>4</v>
      </c>
      <c r="E308" s="371" t="s">
        <v>354</v>
      </c>
      <c r="F308" s="371" t="s">
        <v>25</v>
      </c>
      <c r="G308" s="371" t="s">
        <v>216</v>
      </c>
      <c r="H308" s="371" t="s">
        <v>770</v>
      </c>
      <c r="I308" s="371" t="s">
        <v>299</v>
      </c>
      <c r="J308" s="371" t="s">
        <v>307</v>
      </c>
      <c r="K308" s="373" t="str">
        <f>IF(O308="Zauberspruch",L308,O308)</f>
        <v>Dweomer</v>
      </c>
      <c r="L308" s="373" t="s">
        <v>145</v>
      </c>
      <c r="M308" s="373" t="s">
        <v>301</v>
      </c>
      <c r="N308" s="373" t="s">
        <v>308</v>
      </c>
      <c r="O308" s="376" t="s">
        <v>146</v>
      </c>
      <c r="P308" s="394" t="s">
        <v>75</v>
      </c>
      <c r="Q308" s="367" t="s">
        <v>748</v>
      </c>
      <c r="R308" s="367">
        <v>154</v>
      </c>
    </row>
    <row r="309" spans="1:18" ht="20.100000000000001" customHeight="1" x14ac:dyDescent="0.2">
      <c r="A309" s="377" t="s">
        <v>1539</v>
      </c>
      <c r="B309" s="371" t="s">
        <v>219</v>
      </c>
      <c r="C309" s="371">
        <v>10</v>
      </c>
      <c r="D309" s="372">
        <v>4</v>
      </c>
      <c r="E309" s="371" t="s">
        <v>304</v>
      </c>
      <c r="F309" s="371" t="s">
        <v>321</v>
      </c>
      <c r="G309" s="371" t="s">
        <v>216</v>
      </c>
      <c r="H309" s="371" t="s">
        <v>770</v>
      </c>
      <c r="I309" s="371" t="s">
        <v>306</v>
      </c>
      <c r="J309" s="371" t="s">
        <v>313</v>
      </c>
      <c r="K309" s="373" t="str">
        <f>IF(O309="Zauberspruch",L309,O309)</f>
        <v>Zaubersiegel</v>
      </c>
      <c r="L309" s="373" t="s">
        <v>141</v>
      </c>
      <c r="M309" s="374" t="s">
        <v>302</v>
      </c>
      <c r="N309" s="374" t="s">
        <v>322</v>
      </c>
      <c r="O309" s="404" t="s">
        <v>1322</v>
      </c>
      <c r="P309" s="368" t="s">
        <v>1524</v>
      </c>
      <c r="Q309" s="367" t="s">
        <v>1321</v>
      </c>
      <c r="R309" s="367">
        <v>58</v>
      </c>
    </row>
    <row r="310" spans="1:18" ht="20.100000000000001" customHeight="1" x14ac:dyDescent="0.2">
      <c r="A310" s="377" t="s">
        <v>1420</v>
      </c>
      <c r="B310" s="371" t="s">
        <v>220</v>
      </c>
      <c r="C310" s="371">
        <v>7</v>
      </c>
      <c r="D310" s="372">
        <v>3</v>
      </c>
      <c r="E310" s="371" t="s">
        <v>299</v>
      </c>
      <c r="F310" s="371" t="s">
        <v>25</v>
      </c>
      <c r="G310" s="371" t="s">
        <v>216</v>
      </c>
      <c r="H310" s="371" t="s">
        <v>770</v>
      </c>
      <c r="I310" s="371">
        <v>0</v>
      </c>
      <c r="J310" s="371" t="s">
        <v>313</v>
      </c>
      <c r="K310" s="373" t="str">
        <f>IF(O310="Zauberspruch",L310,O310)</f>
        <v>Thaumatherapie</v>
      </c>
      <c r="L310" s="373" t="s">
        <v>143</v>
      </c>
      <c r="M310" s="374" t="s">
        <v>322</v>
      </c>
      <c r="N310" s="374" t="s">
        <v>329</v>
      </c>
      <c r="O310" s="404" t="s">
        <v>1340</v>
      </c>
      <c r="P310" s="368" t="s">
        <v>75</v>
      </c>
      <c r="Q310" s="367" t="s">
        <v>1321</v>
      </c>
      <c r="R310" s="367">
        <v>86</v>
      </c>
    </row>
    <row r="311" spans="1:18" ht="20.100000000000001" customHeight="1" x14ac:dyDescent="0.2">
      <c r="A311" s="377" t="s">
        <v>1830</v>
      </c>
      <c r="B311" s="371" t="s">
        <v>220</v>
      </c>
      <c r="C311" s="371">
        <v>5</v>
      </c>
      <c r="D311" s="371">
        <v>3</v>
      </c>
      <c r="E311" s="371" t="s">
        <v>347</v>
      </c>
      <c r="F311" s="371" t="s">
        <v>25</v>
      </c>
      <c r="G311" s="371" t="s">
        <v>215</v>
      </c>
      <c r="H311" s="371" t="s">
        <v>791</v>
      </c>
      <c r="I311" s="371" t="s">
        <v>316</v>
      </c>
      <c r="J311" s="371" t="s">
        <v>300</v>
      </c>
      <c r="K311" s="373" t="str">
        <f>IF(O311="Zauberspruch",L311,O311)</f>
        <v>Wundertat</v>
      </c>
      <c r="L311" s="373" t="s">
        <v>143</v>
      </c>
      <c r="M311" s="373" t="s">
        <v>308</v>
      </c>
      <c r="N311" s="373" t="s">
        <v>308</v>
      </c>
      <c r="O311" s="376" t="s">
        <v>1183</v>
      </c>
      <c r="P311" s="376" t="s">
        <v>1831</v>
      </c>
      <c r="Q311" s="367" t="s">
        <v>1872</v>
      </c>
      <c r="R311" s="367">
        <v>18</v>
      </c>
    </row>
    <row r="312" spans="1:18" ht="20.100000000000001" customHeight="1" x14ac:dyDescent="0.2">
      <c r="A312" s="377" t="s">
        <v>541</v>
      </c>
      <c r="B312" s="371" t="s">
        <v>220</v>
      </c>
      <c r="C312" s="371">
        <v>8</v>
      </c>
      <c r="D312" s="372">
        <v>4</v>
      </c>
      <c r="E312" s="371" t="s">
        <v>347</v>
      </c>
      <c r="F312" s="371" t="s">
        <v>359</v>
      </c>
      <c r="G312" s="371" t="s">
        <v>217</v>
      </c>
      <c r="H312" s="371" t="s">
        <v>75</v>
      </c>
      <c r="I312" s="371" t="s">
        <v>306</v>
      </c>
      <c r="J312" s="371" t="s">
        <v>300</v>
      </c>
      <c r="K312" s="373" t="str">
        <f>IF(O312="Zauberspruch",L312,O312)</f>
        <v>Erschaffen</v>
      </c>
      <c r="L312" s="373" t="s">
        <v>145</v>
      </c>
      <c r="M312" s="374" t="s">
        <v>319</v>
      </c>
      <c r="N312" s="374" t="s">
        <v>308</v>
      </c>
      <c r="O312" s="373" t="s">
        <v>166</v>
      </c>
      <c r="P312" s="368" t="s">
        <v>75</v>
      </c>
      <c r="Q312" s="367" t="s">
        <v>748</v>
      </c>
      <c r="R312" s="367">
        <v>95</v>
      </c>
    </row>
    <row r="313" spans="1:18" ht="20.100000000000001" customHeight="1" x14ac:dyDescent="0.2">
      <c r="A313" s="377" t="s">
        <v>542</v>
      </c>
      <c r="B313" s="371" t="s">
        <v>220</v>
      </c>
      <c r="C313" s="371">
        <v>2</v>
      </c>
      <c r="D313" s="372">
        <v>1</v>
      </c>
      <c r="E313" s="371" t="s">
        <v>306</v>
      </c>
      <c r="F313" s="371" t="s">
        <v>25</v>
      </c>
      <c r="G313" s="371" t="s">
        <v>217</v>
      </c>
      <c r="H313" s="371" t="s">
        <v>423</v>
      </c>
      <c r="I313" s="371" t="s">
        <v>369</v>
      </c>
      <c r="J313" s="371" t="s">
        <v>313</v>
      </c>
      <c r="K313" s="373" t="str">
        <f>IF(O313="Zauberspruch",L313,O313)</f>
        <v>Formen</v>
      </c>
      <c r="L313" s="373" t="s">
        <v>148</v>
      </c>
      <c r="M313" s="374" t="s">
        <v>308</v>
      </c>
      <c r="N313" s="374" t="s">
        <v>319</v>
      </c>
      <c r="O313" s="373" t="s">
        <v>166</v>
      </c>
      <c r="P313" s="368" t="s">
        <v>543</v>
      </c>
      <c r="Q313" s="367" t="s">
        <v>748</v>
      </c>
      <c r="R313" s="367">
        <v>96</v>
      </c>
    </row>
    <row r="314" spans="1:18" ht="20.100000000000001" customHeight="1" x14ac:dyDescent="0.2">
      <c r="A314" s="377" t="s">
        <v>1623</v>
      </c>
      <c r="B314" s="371" t="s">
        <v>220</v>
      </c>
      <c r="C314" s="371">
        <v>8</v>
      </c>
      <c r="D314" s="372">
        <v>4</v>
      </c>
      <c r="E314" s="371" t="s">
        <v>299</v>
      </c>
      <c r="F314" s="371" t="s">
        <v>75</v>
      </c>
      <c r="G314" s="371" t="s">
        <v>215</v>
      </c>
      <c r="H314" s="371" t="s">
        <v>770</v>
      </c>
      <c r="I314" s="371" t="s">
        <v>369</v>
      </c>
      <c r="J314" s="371" t="s">
        <v>300</v>
      </c>
      <c r="K314" s="373" t="str">
        <f>IF(O314="Zauberspruch",L314,O314)</f>
        <v>Zauberrune</v>
      </c>
      <c r="L314" s="373" t="s">
        <v>137</v>
      </c>
      <c r="M314" s="374" t="s">
        <v>309</v>
      </c>
      <c r="N314" s="374" t="s">
        <v>309</v>
      </c>
      <c r="O314" s="404" t="s">
        <v>1601</v>
      </c>
      <c r="P314" s="368" t="s">
        <v>1726</v>
      </c>
      <c r="Q314" s="367" t="s">
        <v>1321</v>
      </c>
      <c r="R314" s="367">
        <v>75</v>
      </c>
    </row>
    <row r="315" spans="1:18" ht="20.100000000000001" customHeight="1" x14ac:dyDescent="0.2">
      <c r="A315" s="377" t="s">
        <v>544</v>
      </c>
      <c r="B315" s="371" t="s">
        <v>220</v>
      </c>
      <c r="C315" s="371">
        <v>8</v>
      </c>
      <c r="D315" s="372">
        <v>4</v>
      </c>
      <c r="E315" s="371" t="s">
        <v>493</v>
      </c>
      <c r="F315" s="371" t="s">
        <v>75</v>
      </c>
      <c r="G315" s="371" t="s">
        <v>215</v>
      </c>
      <c r="H315" s="371" t="s">
        <v>770</v>
      </c>
      <c r="I315" s="371" t="s">
        <v>369</v>
      </c>
      <c r="J315" s="371" t="s">
        <v>313</v>
      </c>
      <c r="K315" s="373" t="str">
        <f>IF(O315="Zauberspruch",L315,O315)</f>
        <v>Beherrschen</v>
      </c>
      <c r="L315" s="373" t="s">
        <v>137</v>
      </c>
      <c r="M315" s="374" t="s">
        <v>309</v>
      </c>
      <c r="N315" s="374" t="s">
        <v>309</v>
      </c>
      <c r="O315" s="373" t="s">
        <v>166</v>
      </c>
      <c r="P315" s="368" t="s">
        <v>1199</v>
      </c>
      <c r="Q315" s="367" t="s">
        <v>748</v>
      </c>
      <c r="R315" s="367">
        <v>96</v>
      </c>
    </row>
    <row r="316" spans="1:18" ht="20.100000000000001" customHeight="1" x14ac:dyDescent="0.2">
      <c r="A316" s="377" t="s">
        <v>545</v>
      </c>
      <c r="B316" s="371" t="s">
        <v>220</v>
      </c>
      <c r="C316" s="371">
        <v>7</v>
      </c>
      <c r="D316" s="371">
        <v>5</v>
      </c>
      <c r="E316" s="371" t="s">
        <v>306</v>
      </c>
      <c r="F316" s="371" t="s">
        <v>25</v>
      </c>
      <c r="G316" s="371" t="s">
        <v>216</v>
      </c>
      <c r="H316" s="371" t="s">
        <v>770</v>
      </c>
      <c r="I316" s="371">
        <v>0</v>
      </c>
      <c r="J316" s="371" t="s">
        <v>307</v>
      </c>
      <c r="K316" s="373" t="str">
        <f>IF(O316="Zauberspruch",L316,O316)</f>
        <v>Dweomer</v>
      </c>
      <c r="L316" s="373" t="s">
        <v>145</v>
      </c>
      <c r="M316" s="373" t="s">
        <v>301</v>
      </c>
      <c r="N316" s="373" t="s">
        <v>308</v>
      </c>
      <c r="O316" s="376" t="s">
        <v>146</v>
      </c>
      <c r="P316" s="394" t="s">
        <v>75</v>
      </c>
      <c r="Q316" s="367" t="s">
        <v>748</v>
      </c>
      <c r="R316" s="367">
        <v>155</v>
      </c>
    </row>
    <row r="317" spans="1:18" ht="20.100000000000001" customHeight="1" x14ac:dyDescent="0.2">
      <c r="A317" s="377" t="s">
        <v>546</v>
      </c>
      <c r="B317" s="371" t="s">
        <v>220</v>
      </c>
      <c r="C317" s="371">
        <v>3</v>
      </c>
      <c r="D317" s="371">
        <v>2</v>
      </c>
      <c r="E317" s="371" t="s">
        <v>306</v>
      </c>
      <c r="F317" s="371" t="s">
        <v>25</v>
      </c>
      <c r="G317" s="371" t="s">
        <v>216</v>
      </c>
      <c r="H317" s="371" t="s">
        <v>770</v>
      </c>
      <c r="I317" s="371">
        <v>0</v>
      </c>
      <c r="J317" s="371" t="s">
        <v>307</v>
      </c>
      <c r="K317" s="373" t="str">
        <f>IF(O317="Zauberspruch",L317,O317)</f>
        <v>Dweomer</v>
      </c>
      <c r="L317" s="373" t="s">
        <v>141</v>
      </c>
      <c r="M317" s="373" t="s">
        <v>301</v>
      </c>
      <c r="N317" s="373" t="s">
        <v>329</v>
      </c>
      <c r="O317" s="376" t="s">
        <v>146</v>
      </c>
      <c r="P317" s="394" t="s">
        <v>75</v>
      </c>
      <c r="Q317" s="367" t="s">
        <v>748</v>
      </c>
      <c r="R317" s="367">
        <v>155</v>
      </c>
    </row>
    <row r="318" spans="1:18" ht="20.100000000000001" customHeight="1" x14ac:dyDescent="0.2">
      <c r="A318" s="377" t="s">
        <v>547</v>
      </c>
      <c r="B318" s="371" t="s">
        <v>218</v>
      </c>
      <c r="C318" s="371">
        <v>1</v>
      </c>
      <c r="D318" s="371">
        <v>1</v>
      </c>
      <c r="E318" s="371" t="s">
        <v>304</v>
      </c>
      <c r="F318" s="371" t="s">
        <v>769</v>
      </c>
      <c r="G318" s="371" t="s">
        <v>215</v>
      </c>
      <c r="H318" s="371" t="s">
        <v>791</v>
      </c>
      <c r="I318" s="371" t="s">
        <v>311</v>
      </c>
      <c r="J318" s="371" t="s">
        <v>307</v>
      </c>
      <c r="K318" s="373" t="str">
        <f>IF(O318="Zauberspruch",L318,O318)</f>
        <v>Dweomer</v>
      </c>
      <c r="L318" s="373" t="s">
        <v>143</v>
      </c>
      <c r="M318" s="373" t="s">
        <v>301</v>
      </c>
      <c r="N318" s="373" t="s">
        <v>301</v>
      </c>
      <c r="O318" s="376" t="s">
        <v>146</v>
      </c>
      <c r="P318" s="394" t="s">
        <v>75</v>
      </c>
      <c r="Q318" s="367" t="s">
        <v>748</v>
      </c>
      <c r="R318" s="367">
        <v>155</v>
      </c>
    </row>
    <row r="319" spans="1:18" ht="20.100000000000001" customHeight="1" x14ac:dyDescent="0.2">
      <c r="A319" s="377" t="s">
        <v>548</v>
      </c>
      <c r="B319" s="371" t="s">
        <v>218</v>
      </c>
      <c r="C319" s="371">
        <v>1</v>
      </c>
      <c r="D319" s="372">
        <v>1</v>
      </c>
      <c r="E319" s="371" t="s">
        <v>304</v>
      </c>
      <c r="F319" s="371" t="s">
        <v>769</v>
      </c>
      <c r="G319" s="371" t="s">
        <v>215</v>
      </c>
      <c r="H319" s="371" t="s">
        <v>791</v>
      </c>
      <c r="I319" s="371" t="s">
        <v>311</v>
      </c>
      <c r="J319" s="371" t="s">
        <v>307</v>
      </c>
      <c r="K319" s="373" t="str">
        <f>IF(O319="Zauberspruch",L319,O319)</f>
        <v>Erkennen</v>
      </c>
      <c r="L319" s="373" t="s">
        <v>143</v>
      </c>
      <c r="M319" s="374" t="s">
        <v>322</v>
      </c>
      <c r="N319" s="374" t="s">
        <v>301</v>
      </c>
      <c r="O319" s="373" t="s">
        <v>166</v>
      </c>
      <c r="P319" s="368" t="s">
        <v>75</v>
      </c>
      <c r="Q319" s="367" t="s">
        <v>748</v>
      </c>
      <c r="R319" s="367">
        <v>97</v>
      </c>
    </row>
    <row r="320" spans="1:18" ht="20.100000000000001" customHeight="1" x14ac:dyDescent="0.2">
      <c r="A320" s="377" t="s">
        <v>549</v>
      </c>
      <c r="B320" s="371" t="s">
        <v>218</v>
      </c>
      <c r="C320" s="371">
        <v>8</v>
      </c>
      <c r="D320" s="371">
        <v>4</v>
      </c>
      <c r="E320" s="371" t="s">
        <v>354</v>
      </c>
      <c r="F320" s="371" t="s">
        <v>75</v>
      </c>
      <c r="G320" s="371" t="s">
        <v>216</v>
      </c>
      <c r="H320" s="371" t="s">
        <v>791</v>
      </c>
      <c r="I320" s="371" t="s">
        <v>493</v>
      </c>
      <c r="J320" s="371" t="s">
        <v>307</v>
      </c>
      <c r="K320" s="373" t="str">
        <f>IF(O320="Zauberspruch",L320,O320)</f>
        <v>Dweomer</v>
      </c>
      <c r="L320" s="373" t="s">
        <v>140</v>
      </c>
      <c r="M320" s="373" t="s">
        <v>314</v>
      </c>
      <c r="N320" s="373" t="s">
        <v>308</v>
      </c>
      <c r="O320" s="376" t="s">
        <v>146</v>
      </c>
      <c r="P320" s="394" t="s">
        <v>75</v>
      </c>
      <c r="Q320" s="367" t="s">
        <v>748</v>
      </c>
      <c r="R320" s="367">
        <v>155</v>
      </c>
    </row>
    <row r="321" spans="1:18" ht="20.100000000000001" customHeight="1" x14ac:dyDescent="0.2">
      <c r="A321" s="377" t="s">
        <v>1453</v>
      </c>
      <c r="B321" s="371" t="s">
        <v>218</v>
      </c>
      <c r="C321" s="371">
        <v>2</v>
      </c>
      <c r="D321" s="372">
        <v>1</v>
      </c>
      <c r="E321" s="371" t="s">
        <v>304</v>
      </c>
      <c r="F321" s="371" t="s">
        <v>472</v>
      </c>
      <c r="G321" s="371" t="s">
        <v>217</v>
      </c>
      <c r="H321" s="371" t="s">
        <v>774</v>
      </c>
      <c r="I321" s="371">
        <v>0</v>
      </c>
      <c r="J321" s="371" t="s">
        <v>313</v>
      </c>
      <c r="K321" s="373" t="str">
        <f>IF(O321="Zauberspruch",L321,O321)</f>
        <v>Zaubersalz</v>
      </c>
      <c r="L321" s="373" t="s">
        <v>141</v>
      </c>
      <c r="M321" s="374" t="s">
        <v>302</v>
      </c>
      <c r="N321" s="374" t="s">
        <v>308</v>
      </c>
      <c r="O321" s="404" t="s">
        <v>1439</v>
      </c>
      <c r="P321" s="368" t="s">
        <v>1706</v>
      </c>
      <c r="Q321" s="367" t="s">
        <v>1321</v>
      </c>
      <c r="R321" s="367">
        <v>48</v>
      </c>
    </row>
    <row r="322" spans="1:18" ht="20.100000000000001" customHeight="1" x14ac:dyDescent="0.2">
      <c r="A322" s="377" t="s">
        <v>1624</v>
      </c>
      <c r="B322" s="371" t="s">
        <v>220</v>
      </c>
      <c r="C322" s="371">
        <v>5</v>
      </c>
      <c r="D322" s="372">
        <v>3</v>
      </c>
      <c r="E322" s="371" t="s">
        <v>299</v>
      </c>
      <c r="F322" s="371" t="s">
        <v>75</v>
      </c>
      <c r="G322" s="371" t="s">
        <v>217</v>
      </c>
      <c r="H322" s="371" t="s">
        <v>775</v>
      </c>
      <c r="I322" s="371">
        <v>0</v>
      </c>
      <c r="J322" s="371" t="s">
        <v>300</v>
      </c>
      <c r="K322" s="373" t="str">
        <f>IF(O322="Zauberspruch",L322,O322)</f>
        <v>Zauberrune</v>
      </c>
      <c r="L322" s="373" t="s">
        <v>141</v>
      </c>
      <c r="M322" s="374" t="s">
        <v>314</v>
      </c>
      <c r="N322" s="374" t="s">
        <v>322</v>
      </c>
      <c r="O322" s="404" t="s">
        <v>1601</v>
      </c>
      <c r="P322" s="368" t="s">
        <v>1727</v>
      </c>
      <c r="Q322" s="367" t="s">
        <v>1321</v>
      </c>
      <c r="R322" s="367">
        <v>75</v>
      </c>
    </row>
    <row r="323" spans="1:18" ht="20.100000000000001" customHeight="1" x14ac:dyDescent="0.2">
      <c r="A323" s="377" t="s">
        <v>550</v>
      </c>
      <c r="B323" s="371" t="s">
        <v>218</v>
      </c>
      <c r="C323" s="371">
        <v>7</v>
      </c>
      <c r="D323" s="372">
        <v>4</v>
      </c>
      <c r="E323" s="371" t="s">
        <v>354</v>
      </c>
      <c r="F323" s="371" t="s">
        <v>75</v>
      </c>
      <c r="G323" s="371" t="s">
        <v>216</v>
      </c>
      <c r="H323" s="371" t="s">
        <v>791</v>
      </c>
      <c r="I323" s="371" t="s">
        <v>325</v>
      </c>
      <c r="J323" s="371" t="s">
        <v>328</v>
      </c>
      <c r="K323" s="373" t="str">
        <f>IF(O323="Zauberspruch",L323,O323)</f>
        <v>Bewegen</v>
      </c>
      <c r="L323" s="373" t="s">
        <v>140</v>
      </c>
      <c r="M323" s="374" t="s">
        <v>314</v>
      </c>
      <c r="N323" s="374" t="s">
        <v>302</v>
      </c>
      <c r="O323" s="373" t="s">
        <v>166</v>
      </c>
      <c r="P323" s="368" t="s">
        <v>75</v>
      </c>
      <c r="Q323" s="367" t="s">
        <v>748</v>
      </c>
      <c r="R323" s="367">
        <v>97</v>
      </c>
    </row>
    <row r="324" spans="1:18" ht="20.100000000000001" customHeight="1" x14ac:dyDescent="0.2">
      <c r="A324" s="377" t="s">
        <v>1540</v>
      </c>
      <c r="B324" s="371" t="s">
        <v>219</v>
      </c>
      <c r="C324" s="371">
        <v>7</v>
      </c>
      <c r="D324" s="372">
        <v>4</v>
      </c>
      <c r="E324" s="371" t="s">
        <v>304</v>
      </c>
      <c r="F324" s="371" t="s">
        <v>75</v>
      </c>
      <c r="G324" s="371" t="s">
        <v>216</v>
      </c>
      <c r="H324" s="371" t="s">
        <v>770</v>
      </c>
      <c r="I324" s="371" t="s">
        <v>325</v>
      </c>
      <c r="J324" s="371" t="s">
        <v>328</v>
      </c>
      <c r="K324" s="373" t="str">
        <f>IF(O324="Zauberspruch",L324,O324)</f>
        <v>Zaubersiegel</v>
      </c>
      <c r="L324" s="373" t="s">
        <v>140</v>
      </c>
      <c r="M324" s="374" t="s">
        <v>314</v>
      </c>
      <c r="N324" s="374" t="s">
        <v>302</v>
      </c>
      <c r="O324" s="404" t="s">
        <v>1322</v>
      </c>
      <c r="P324" s="368" t="s">
        <v>1541</v>
      </c>
      <c r="Q324" s="367" t="s">
        <v>1321</v>
      </c>
      <c r="R324" s="367">
        <v>58</v>
      </c>
    </row>
    <row r="325" spans="1:18" ht="20.100000000000001" customHeight="1" x14ac:dyDescent="0.2">
      <c r="A325" s="377" t="s">
        <v>551</v>
      </c>
      <c r="B325" s="371" t="s">
        <v>220</v>
      </c>
      <c r="C325" s="371">
        <v>8</v>
      </c>
      <c r="D325" s="372">
        <v>4</v>
      </c>
      <c r="E325" s="371" t="s">
        <v>354</v>
      </c>
      <c r="F325" s="371" t="s">
        <v>332</v>
      </c>
      <c r="G325" s="371" t="s">
        <v>217</v>
      </c>
      <c r="H325" s="371" t="s">
        <v>777</v>
      </c>
      <c r="I325" s="371" t="s">
        <v>493</v>
      </c>
      <c r="J325" s="371" t="s">
        <v>328</v>
      </c>
      <c r="K325" s="373" t="str">
        <f>IF(O325="Zauberspruch",L325,O325)</f>
        <v>Erschaffen</v>
      </c>
      <c r="L325" s="373" t="s">
        <v>145</v>
      </c>
      <c r="M325" s="374" t="s">
        <v>314</v>
      </c>
      <c r="N325" s="374" t="s">
        <v>314</v>
      </c>
      <c r="O325" s="373" t="s">
        <v>166</v>
      </c>
      <c r="P325" s="368" t="s">
        <v>552</v>
      </c>
      <c r="Q325" s="367" t="s">
        <v>748</v>
      </c>
      <c r="R325" s="367">
        <v>97</v>
      </c>
    </row>
    <row r="326" spans="1:18" ht="20.100000000000001" customHeight="1" x14ac:dyDescent="0.2">
      <c r="A326" s="377" t="s">
        <v>553</v>
      </c>
      <c r="B326" s="371" t="s">
        <v>218</v>
      </c>
      <c r="C326" s="371">
        <v>1</v>
      </c>
      <c r="D326" s="372">
        <v>1</v>
      </c>
      <c r="E326" s="371" t="s">
        <v>311</v>
      </c>
      <c r="F326" s="371" t="s">
        <v>75</v>
      </c>
      <c r="G326" s="371" t="s">
        <v>216</v>
      </c>
      <c r="H326" s="371" t="s">
        <v>791</v>
      </c>
      <c r="I326" s="371" t="s">
        <v>554</v>
      </c>
      <c r="J326" s="371" t="s">
        <v>313</v>
      </c>
      <c r="K326" s="373" t="str">
        <f>IF(O326="Zauberspruch",L326,O326)</f>
        <v>Beherrschen</v>
      </c>
      <c r="L326" s="373" t="s">
        <v>137</v>
      </c>
      <c r="M326" s="374" t="s">
        <v>319</v>
      </c>
      <c r="N326" s="374" t="s">
        <v>308</v>
      </c>
      <c r="O326" s="373" t="s">
        <v>166</v>
      </c>
      <c r="P326" s="368" t="s">
        <v>75</v>
      </c>
      <c r="Q326" s="367" t="s">
        <v>748</v>
      </c>
      <c r="R326" s="367">
        <v>98</v>
      </c>
    </row>
    <row r="327" spans="1:18" ht="20.100000000000001" customHeight="1" x14ac:dyDescent="0.2">
      <c r="A327" s="377" t="s">
        <v>1542</v>
      </c>
      <c r="B327" s="371" t="s">
        <v>219</v>
      </c>
      <c r="C327" s="371">
        <v>1</v>
      </c>
      <c r="D327" s="372">
        <v>1</v>
      </c>
      <c r="E327" s="371" t="s">
        <v>304</v>
      </c>
      <c r="F327" s="371" t="s">
        <v>75</v>
      </c>
      <c r="G327" s="371" t="s">
        <v>216</v>
      </c>
      <c r="H327" s="371" t="s">
        <v>770</v>
      </c>
      <c r="I327" s="371" t="s">
        <v>554</v>
      </c>
      <c r="J327" s="371" t="s">
        <v>313</v>
      </c>
      <c r="K327" s="373" t="str">
        <f>IF(O327="Zauberspruch",L327,O327)</f>
        <v>Zaubersiegel</v>
      </c>
      <c r="L327" s="373" t="s">
        <v>137</v>
      </c>
      <c r="M327" s="374" t="s">
        <v>319</v>
      </c>
      <c r="N327" s="374" t="s">
        <v>308</v>
      </c>
      <c r="O327" s="404" t="s">
        <v>1322</v>
      </c>
      <c r="P327" s="368" t="s">
        <v>1497</v>
      </c>
      <c r="Q327" s="367" t="s">
        <v>1321</v>
      </c>
      <c r="R327" s="367">
        <v>58</v>
      </c>
    </row>
    <row r="328" spans="1:18" ht="20.100000000000001" customHeight="1" x14ac:dyDescent="0.2">
      <c r="A328" s="377" t="s">
        <v>555</v>
      </c>
      <c r="B328" s="371" t="s">
        <v>219</v>
      </c>
      <c r="C328" s="371">
        <v>4</v>
      </c>
      <c r="D328" s="372" t="s">
        <v>756</v>
      </c>
      <c r="E328" s="371" t="s">
        <v>311</v>
      </c>
      <c r="F328" s="371" t="s">
        <v>305</v>
      </c>
      <c r="G328" s="371" t="s">
        <v>215</v>
      </c>
      <c r="H328" s="371" t="s">
        <v>799</v>
      </c>
      <c r="I328" s="371" t="s">
        <v>556</v>
      </c>
      <c r="J328" s="371" t="s">
        <v>313</v>
      </c>
      <c r="K328" s="373" t="str">
        <f>IF(O328="Zauberspruch",L328,O328)</f>
        <v>Beherrschen</v>
      </c>
      <c r="L328" s="373" t="s">
        <v>137</v>
      </c>
      <c r="M328" s="374" t="s">
        <v>322</v>
      </c>
      <c r="N328" s="374" t="s">
        <v>309</v>
      </c>
      <c r="O328" s="373" t="s">
        <v>166</v>
      </c>
      <c r="P328" s="368" t="s">
        <v>75</v>
      </c>
      <c r="Q328" s="367" t="s">
        <v>748</v>
      </c>
      <c r="R328" s="367">
        <v>98</v>
      </c>
    </row>
    <row r="329" spans="1:18" ht="20.100000000000001" customHeight="1" x14ac:dyDescent="0.2">
      <c r="A329" s="377" t="s">
        <v>1543</v>
      </c>
      <c r="B329" s="371" t="s">
        <v>219</v>
      </c>
      <c r="C329" s="371">
        <v>4</v>
      </c>
      <c r="D329" s="372" t="s">
        <v>756</v>
      </c>
      <c r="E329" s="371" t="s">
        <v>304</v>
      </c>
      <c r="F329" s="371" t="s">
        <v>305</v>
      </c>
      <c r="G329" s="371" t="s">
        <v>215</v>
      </c>
      <c r="H329" s="371" t="s">
        <v>799</v>
      </c>
      <c r="I329" s="371" t="s">
        <v>556</v>
      </c>
      <c r="J329" s="371" t="s">
        <v>313</v>
      </c>
      <c r="K329" s="373" t="str">
        <f>IF(O329="Zauberspruch",L329,O329)</f>
        <v>Zaubersiegel</v>
      </c>
      <c r="L329" s="373" t="s">
        <v>137</v>
      </c>
      <c r="M329" s="374" t="s">
        <v>322</v>
      </c>
      <c r="N329" s="374" t="s">
        <v>309</v>
      </c>
      <c r="O329" s="404" t="s">
        <v>1322</v>
      </c>
      <c r="P329" s="368" t="s">
        <v>1544</v>
      </c>
      <c r="Q329" s="367" t="s">
        <v>1321</v>
      </c>
      <c r="R329" s="367">
        <v>59</v>
      </c>
    </row>
    <row r="330" spans="1:18" ht="20.100000000000001" customHeight="1" x14ac:dyDescent="0.2">
      <c r="A330" s="377" t="s">
        <v>557</v>
      </c>
      <c r="B330" s="371" t="s">
        <v>220</v>
      </c>
      <c r="C330" s="371">
        <v>2</v>
      </c>
      <c r="D330" s="372" t="s">
        <v>760</v>
      </c>
      <c r="E330" s="371" t="s">
        <v>311</v>
      </c>
      <c r="F330" s="371" t="s">
        <v>359</v>
      </c>
      <c r="G330" s="371" t="s">
        <v>215</v>
      </c>
      <c r="H330" s="371" t="s">
        <v>791</v>
      </c>
      <c r="I330" s="371" t="s">
        <v>558</v>
      </c>
      <c r="J330" s="371" t="s">
        <v>313</v>
      </c>
      <c r="K330" s="373" t="str">
        <f>IF(O330="Zauberspruch",L330,O330)</f>
        <v>Beherrschen</v>
      </c>
      <c r="L330" s="373" t="s">
        <v>137</v>
      </c>
      <c r="M330" s="374" t="s">
        <v>322</v>
      </c>
      <c r="N330" s="374" t="s">
        <v>308</v>
      </c>
      <c r="O330" s="373" t="s">
        <v>166</v>
      </c>
      <c r="P330" s="368" t="s">
        <v>75</v>
      </c>
      <c r="Q330" s="367" t="s">
        <v>748</v>
      </c>
      <c r="R330" s="367">
        <v>98</v>
      </c>
    </row>
    <row r="331" spans="1:18" ht="20.100000000000001" customHeight="1" x14ac:dyDescent="0.2">
      <c r="A331" s="377" t="s">
        <v>1808</v>
      </c>
      <c r="B331" s="371" t="s">
        <v>220</v>
      </c>
      <c r="C331" s="371">
        <v>11</v>
      </c>
      <c r="D331" s="371">
        <v>18</v>
      </c>
      <c r="E331" s="371" t="s">
        <v>299</v>
      </c>
      <c r="F331" s="371" t="s">
        <v>321</v>
      </c>
      <c r="G331" s="371" t="s">
        <v>217</v>
      </c>
      <c r="H331" s="371" t="s">
        <v>782</v>
      </c>
      <c r="I331" s="371" t="s">
        <v>369</v>
      </c>
      <c r="J331" s="371" t="s">
        <v>313</v>
      </c>
      <c r="K331" s="373" t="str">
        <f>IF(O331="Zauberspruch",L331,O331)</f>
        <v>Zerstören</v>
      </c>
      <c r="L331" s="373" t="s">
        <v>141</v>
      </c>
      <c r="M331" s="373" t="s">
        <v>319</v>
      </c>
      <c r="N331" s="373" t="s">
        <v>301</v>
      </c>
      <c r="O331" s="373" t="s">
        <v>166</v>
      </c>
      <c r="P331" s="376" t="s">
        <v>75</v>
      </c>
      <c r="Q331" s="367" t="s">
        <v>1872</v>
      </c>
      <c r="R331" s="367">
        <v>10</v>
      </c>
    </row>
    <row r="332" spans="1:18" ht="20.100000000000001" customHeight="1" x14ac:dyDescent="0.2">
      <c r="A332" s="377" t="s">
        <v>559</v>
      </c>
      <c r="B332" s="371" t="s">
        <v>220</v>
      </c>
      <c r="C332" s="371">
        <v>9</v>
      </c>
      <c r="D332" s="372" t="s">
        <v>1793</v>
      </c>
      <c r="E332" s="371" t="s">
        <v>311</v>
      </c>
      <c r="F332" s="371" t="s">
        <v>560</v>
      </c>
      <c r="G332" s="371" t="s">
        <v>216</v>
      </c>
      <c r="H332" s="371" t="s">
        <v>770</v>
      </c>
      <c r="I332" s="371" t="s">
        <v>318</v>
      </c>
      <c r="J332" s="371" t="s">
        <v>313</v>
      </c>
      <c r="K332" s="373" t="str">
        <f>IF(O332="Zauberspruch",L332,O332)</f>
        <v>Zerstören</v>
      </c>
      <c r="L332" s="373" t="s">
        <v>141</v>
      </c>
      <c r="M332" s="374" t="s">
        <v>329</v>
      </c>
      <c r="N332" s="374" t="s">
        <v>302</v>
      </c>
      <c r="O332" s="373" t="s">
        <v>166</v>
      </c>
      <c r="P332" s="368" t="s">
        <v>75</v>
      </c>
      <c r="Q332" s="367" t="s">
        <v>748</v>
      </c>
      <c r="R332" s="367">
        <v>99</v>
      </c>
    </row>
    <row r="333" spans="1:18" ht="20.100000000000001" customHeight="1" x14ac:dyDescent="0.2">
      <c r="A333" s="377" t="s">
        <v>561</v>
      </c>
      <c r="B333" s="371" t="s">
        <v>219</v>
      </c>
      <c r="C333" s="371">
        <v>7</v>
      </c>
      <c r="D333" s="372" t="s">
        <v>761</v>
      </c>
      <c r="E333" s="371" t="s">
        <v>354</v>
      </c>
      <c r="F333" s="371" t="s">
        <v>305</v>
      </c>
      <c r="G333" s="371" t="s">
        <v>215</v>
      </c>
      <c r="H333" s="371" t="s">
        <v>799</v>
      </c>
      <c r="I333" s="371" t="s">
        <v>397</v>
      </c>
      <c r="J333" s="371" t="s">
        <v>313</v>
      </c>
      <c r="K333" s="373" t="str">
        <f>IF(O333="Zauberspruch",L333,O333)</f>
        <v>Beherrschen</v>
      </c>
      <c r="L333" s="373" t="s">
        <v>137</v>
      </c>
      <c r="M333" s="374" t="s">
        <v>322</v>
      </c>
      <c r="N333" s="374" t="s">
        <v>322</v>
      </c>
      <c r="O333" s="373" t="s">
        <v>166</v>
      </c>
      <c r="P333" s="368" t="s">
        <v>75</v>
      </c>
      <c r="Q333" s="367" t="s">
        <v>748</v>
      </c>
      <c r="R333" s="367">
        <v>99</v>
      </c>
    </row>
    <row r="334" spans="1:18" ht="20.100000000000001" customHeight="1" x14ac:dyDescent="0.2">
      <c r="A334" s="377" t="s">
        <v>562</v>
      </c>
      <c r="B334" s="371" t="s">
        <v>219</v>
      </c>
      <c r="C334" s="371">
        <v>6</v>
      </c>
      <c r="D334" s="372" t="s">
        <v>761</v>
      </c>
      <c r="E334" s="371" t="s">
        <v>354</v>
      </c>
      <c r="F334" s="371" t="s">
        <v>305</v>
      </c>
      <c r="G334" s="371" t="s">
        <v>215</v>
      </c>
      <c r="H334" s="371" t="s">
        <v>799</v>
      </c>
      <c r="I334" s="371" t="s">
        <v>397</v>
      </c>
      <c r="J334" s="371" t="s">
        <v>313</v>
      </c>
      <c r="K334" s="373" t="str">
        <f>IF(O334="Zauberspruch",L334,O334)</f>
        <v>Beherrschen</v>
      </c>
      <c r="L334" s="373" t="s">
        <v>137</v>
      </c>
      <c r="M334" s="374" t="s">
        <v>322</v>
      </c>
      <c r="N334" s="374" t="s">
        <v>314</v>
      </c>
      <c r="O334" s="373" t="s">
        <v>166</v>
      </c>
      <c r="P334" s="368" t="s">
        <v>75</v>
      </c>
      <c r="Q334" s="367" t="s">
        <v>748</v>
      </c>
      <c r="R334" s="367">
        <v>100</v>
      </c>
    </row>
    <row r="335" spans="1:18" ht="20.100000000000001" customHeight="1" x14ac:dyDescent="0.2">
      <c r="A335" s="377" t="s">
        <v>1545</v>
      </c>
      <c r="B335" s="371" t="s">
        <v>219</v>
      </c>
      <c r="C335" s="371">
        <v>6</v>
      </c>
      <c r="D335" s="372" t="s">
        <v>761</v>
      </c>
      <c r="E335" s="371" t="s">
        <v>304</v>
      </c>
      <c r="F335" s="371" t="s">
        <v>305</v>
      </c>
      <c r="G335" s="371" t="s">
        <v>215</v>
      </c>
      <c r="H335" s="371" t="s">
        <v>799</v>
      </c>
      <c r="I335" s="371" t="s">
        <v>556</v>
      </c>
      <c r="J335" s="371" t="s">
        <v>313</v>
      </c>
      <c r="K335" s="373" t="str">
        <f>IF(O335="Zauberspruch",L335,O335)</f>
        <v>Zaubersiegel</v>
      </c>
      <c r="L335" s="373" t="s">
        <v>137</v>
      </c>
      <c r="M335" s="374" t="s">
        <v>322</v>
      </c>
      <c r="N335" s="374" t="s">
        <v>314</v>
      </c>
      <c r="O335" s="404" t="s">
        <v>1322</v>
      </c>
      <c r="P335" s="368" t="s">
        <v>1544</v>
      </c>
      <c r="Q335" s="367" t="s">
        <v>1321</v>
      </c>
      <c r="R335" s="367">
        <v>59</v>
      </c>
    </row>
    <row r="336" spans="1:18" ht="20.100000000000001" customHeight="1" x14ac:dyDescent="0.2">
      <c r="A336" s="377" t="s">
        <v>563</v>
      </c>
      <c r="B336" s="371" t="s">
        <v>220</v>
      </c>
      <c r="C336" s="371">
        <v>3</v>
      </c>
      <c r="D336" s="372">
        <v>2</v>
      </c>
      <c r="E336" s="371" t="s">
        <v>304</v>
      </c>
      <c r="F336" s="371" t="s">
        <v>305</v>
      </c>
      <c r="G336" s="371" t="s">
        <v>217</v>
      </c>
      <c r="H336" s="371" t="s">
        <v>75</v>
      </c>
      <c r="I336" s="371" t="s">
        <v>311</v>
      </c>
      <c r="J336" s="371" t="s">
        <v>313</v>
      </c>
      <c r="K336" s="373" t="str">
        <f>IF(O336="Zauberspruch",L336,O336)</f>
        <v>Bewegen</v>
      </c>
      <c r="L336" s="373" t="s">
        <v>140</v>
      </c>
      <c r="M336" s="374" t="s">
        <v>308</v>
      </c>
      <c r="N336" s="374" t="s">
        <v>319</v>
      </c>
      <c r="O336" s="373" t="s">
        <v>166</v>
      </c>
      <c r="P336" s="368" t="s">
        <v>75</v>
      </c>
      <c r="Q336" s="367" t="s">
        <v>748</v>
      </c>
      <c r="R336" s="367">
        <v>100</v>
      </c>
    </row>
    <row r="337" spans="1:18" ht="20.100000000000001" customHeight="1" x14ac:dyDescent="0.2">
      <c r="A337" s="377" t="s">
        <v>564</v>
      </c>
      <c r="B337" s="371" t="s">
        <v>220</v>
      </c>
      <c r="C337" s="371">
        <v>6</v>
      </c>
      <c r="D337" s="372">
        <v>6</v>
      </c>
      <c r="E337" s="371" t="s">
        <v>299</v>
      </c>
      <c r="F337" s="371" t="s">
        <v>332</v>
      </c>
      <c r="G337" s="371" t="s">
        <v>217</v>
      </c>
      <c r="H337" s="371" t="s">
        <v>786</v>
      </c>
      <c r="I337" s="371" t="s">
        <v>369</v>
      </c>
      <c r="J337" s="371" t="s">
        <v>313</v>
      </c>
      <c r="K337" s="373" t="str">
        <f>IF(O337="Zauberspruch",L337,O337)</f>
        <v>Erkennen</v>
      </c>
      <c r="L337" s="373" t="s">
        <v>143</v>
      </c>
      <c r="M337" s="374" t="s">
        <v>322</v>
      </c>
      <c r="N337" s="374" t="s">
        <v>322</v>
      </c>
      <c r="O337" s="373" t="s">
        <v>166</v>
      </c>
      <c r="P337" s="368" t="s">
        <v>1200</v>
      </c>
      <c r="Q337" s="367" t="s">
        <v>748</v>
      </c>
      <c r="R337" s="367">
        <v>101</v>
      </c>
    </row>
    <row r="338" spans="1:18" ht="20.100000000000001" customHeight="1" x14ac:dyDescent="0.2">
      <c r="A338" s="377" t="s">
        <v>565</v>
      </c>
      <c r="B338" s="371" t="s">
        <v>220</v>
      </c>
      <c r="C338" s="371">
        <v>6</v>
      </c>
      <c r="D338" s="372">
        <v>6</v>
      </c>
      <c r="E338" s="371" t="s">
        <v>299</v>
      </c>
      <c r="F338" s="371" t="s">
        <v>332</v>
      </c>
      <c r="G338" s="371" t="s">
        <v>217</v>
      </c>
      <c r="H338" s="371" t="s">
        <v>786</v>
      </c>
      <c r="I338" s="371" t="s">
        <v>369</v>
      </c>
      <c r="J338" s="371" t="s">
        <v>313</v>
      </c>
      <c r="K338" s="373" t="str">
        <f>IF(O338="Zauberspruch",L338,O338)</f>
        <v>Zerstören</v>
      </c>
      <c r="L338" s="373" t="s">
        <v>141</v>
      </c>
      <c r="M338" s="374" t="s">
        <v>322</v>
      </c>
      <c r="N338" s="374" t="s">
        <v>322</v>
      </c>
      <c r="O338" s="373" t="s">
        <v>166</v>
      </c>
      <c r="P338" s="368" t="s">
        <v>1200</v>
      </c>
      <c r="Q338" s="367" t="s">
        <v>748</v>
      </c>
      <c r="R338" s="367">
        <v>101</v>
      </c>
    </row>
    <row r="339" spans="1:18" ht="20.100000000000001" customHeight="1" x14ac:dyDescent="0.2">
      <c r="A339" s="377" t="s">
        <v>566</v>
      </c>
      <c r="B339" s="371" t="s">
        <v>220</v>
      </c>
      <c r="C339" s="371">
        <v>6</v>
      </c>
      <c r="D339" s="372">
        <v>6</v>
      </c>
      <c r="E339" s="371" t="s">
        <v>299</v>
      </c>
      <c r="F339" s="371" t="s">
        <v>332</v>
      </c>
      <c r="G339" s="371" t="s">
        <v>217</v>
      </c>
      <c r="H339" s="371" t="s">
        <v>786</v>
      </c>
      <c r="I339" s="371" t="s">
        <v>369</v>
      </c>
      <c r="J339" s="371" t="s">
        <v>313</v>
      </c>
      <c r="K339" s="373" t="str">
        <f>IF(O339="Zauberspruch",L339,O339)</f>
        <v>Formen</v>
      </c>
      <c r="L339" s="373" t="s">
        <v>148</v>
      </c>
      <c r="M339" s="374" t="s">
        <v>322</v>
      </c>
      <c r="N339" s="374" t="s">
        <v>309</v>
      </c>
      <c r="O339" s="373" t="s">
        <v>166</v>
      </c>
      <c r="P339" s="368" t="s">
        <v>1200</v>
      </c>
      <c r="Q339" s="367" t="s">
        <v>748</v>
      </c>
      <c r="R339" s="367">
        <v>101</v>
      </c>
    </row>
    <row r="340" spans="1:18" ht="20.100000000000001" customHeight="1" x14ac:dyDescent="0.2">
      <c r="A340" s="377" t="s">
        <v>567</v>
      </c>
      <c r="B340" s="371" t="s">
        <v>220</v>
      </c>
      <c r="C340" s="371">
        <v>6</v>
      </c>
      <c r="D340" s="372">
        <v>6</v>
      </c>
      <c r="E340" s="371" t="s">
        <v>306</v>
      </c>
      <c r="F340" s="371" t="s">
        <v>332</v>
      </c>
      <c r="G340" s="371" t="s">
        <v>217</v>
      </c>
      <c r="H340" s="371" t="s">
        <v>780</v>
      </c>
      <c r="I340" s="371" t="s">
        <v>338</v>
      </c>
      <c r="J340" s="371" t="s">
        <v>307</v>
      </c>
      <c r="K340" s="373" t="str">
        <f>IF(O340="Zauberspruch",L340,O340)</f>
        <v>Erkennen</v>
      </c>
      <c r="L340" s="373" t="s">
        <v>143</v>
      </c>
      <c r="M340" s="374" t="s">
        <v>322</v>
      </c>
      <c r="N340" s="374" t="s">
        <v>322</v>
      </c>
      <c r="O340" s="373" t="s">
        <v>166</v>
      </c>
      <c r="P340" s="368" t="s">
        <v>568</v>
      </c>
      <c r="Q340" s="367" t="s">
        <v>748</v>
      </c>
      <c r="R340" s="367">
        <v>102</v>
      </c>
    </row>
    <row r="341" spans="1:18" ht="20.100000000000001" customHeight="1" x14ac:dyDescent="0.2">
      <c r="A341" s="377" t="s">
        <v>97</v>
      </c>
      <c r="B341" s="371" t="s">
        <v>220</v>
      </c>
      <c r="C341" s="371">
        <v>5</v>
      </c>
      <c r="D341" s="372">
        <v>3</v>
      </c>
      <c r="E341" s="371" t="s">
        <v>311</v>
      </c>
      <c r="F341" s="371" t="s">
        <v>25</v>
      </c>
      <c r="G341" s="371" t="s">
        <v>216</v>
      </c>
      <c r="H341" s="371" t="s">
        <v>770</v>
      </c>
      <c r="I341" s="371" t="s">
        <v>306</v>
      </c>
      <c r="J341" s="371" t="s">
        <v>328</v>
      </c>
      <c r="K341" s="373" t="str">
        <f>IF(O341="Zauberspruch",L341,O341)</f>
        <v>Verändern</v>
      </c>
      <c r="L341" s="373" t="s">
        <v>138</v>
      </c>
      <c r="M341" s="374" t="s">
        <v>302</v>
      </c>
      <c r="N341" s="374" t="s">
        <v>302</v>
      </c>
      <c r="O341" s="373" t="s">
        <v>166</v>
      </c>
      <c r="P341" s="368" t="s">
        <v>569</v>
      </c>
      <c r="Q341" s="367" t="s">
        <v>748</v>
      </c>
      <c r="R341" s="367">
        <v>102</v>
      </c>
    </row>
    <row r="342" spans="1:18" ht="20.100000000000001" customHeight="1" x14ac:dyDescent="0.2">
      <c r="A342" s="377" t="s">
        <v>1546</v>
      </c>
      <c r="B342" s="371" t="s">
        <v>219</v>
      </c>
      <c r="C342" s="371">
        <v>5</v>
      </c>
      <c r="D342" s="372">
        <v>3</v>
      </c>
      <c r="E342" s="371" t="s">
        <v>304</v>
      </c>
      <c r="F342" s="371" t="s">
        <v>25</v>
      </c>
      <c r="G342" s="371" t="s">
        <v>216</v>
      </c>
      <c r="H342" s="371" t="s">
        <v>770</v>
      </c>
      <c r="I342" s="371" t="s">
        <v>306</v>
      </c>
      <c r="J342" s="371" t="s">
        <v>328</v>
      </c>
      <c r="K342" s="373" t="str">
        <f>IF(O342="Zauberspruch",L342,O342)</f>
        <v>Zaubersiegel</v>
      </c>
      <c r="L342" s="373" t="s">
        <v>138</v>
      </c>
      <c r="M342" s="374" t="s">
        <v>302</v>
      </c>
      <c r="N342" s="374" t="s">
        <v>302</v>
      </c>
      <c r="O342" s="404" t="s">
        <v>1322</v>
      </c>
      <c r="P342" s="368" t="s">
        <v>1512</v>
      </c>
      <c r="Q342" s="367" t="s">
        <v>1321</v>
      </c>
      <c r="R342" s="367">
        <v>59</v>
      </c>
    </row>
    <row r="343" spans="1:18" ht="20.100000000000001" customHeight="1" x14ac:dyDescent="0.2">
      <c r="A343" s="377" t="s">
        <v>570</v>
      </c>
      <c r="B343" s="371" t="s">
        <v>218</v>
      </c>
      <c r="C343" s="371">
        <v>2</v>
      </c>
      <c r="D343" s="372">
        <v>1</v>
      </c>
      <c r="E343" s="371" t="s">
        <v>304</v>
      </c>
      <c r="F343" s="371" t="s">
        <v>472</v>
      </c>
      <c r="G343" s="371" t="s">
        <v>215</v>
      </c>
      <c r="H343" s="371" t="s">
        <v>770</v>
      </c>
      <c r="I343" s="371" t="s">
        <v>473</v>
      </c>
      <c r="J343" s="371" t="s">
        <v>313</v>
      </c>
      <c r="K343" s="373" t="str">
        <f>IF(O343="Zauberspruch",L343,O343)</f>
        <v>Erkennen</v>
      </c>
      <c r="L343" s="373" t="s">
        <v>143</v>
      </c>
      <c r="M343" s="374" t="s">
        <v>309</v>
      </c>
      <c r="N343" s="374" t="s">
        <v>309</v>
      </c>
      <c r="O343" s="373" t="s">
        <v>166</v>
      </c>
      <c r="P343" s="368" t="s">
        <v>75</v>
      </c>
      <c r="Q343" s="367" t="s">
        <v>748</v>
      </c>
      <c r="R343" s="367">
        <v>102</v>
      </c>
    </row>
    <row r="344" spans="1:18" ht="20.100000000000001" customHeight="1" x14ac:dyDescent="0.2">
      <c r="A344" s="377" t="s">
        <v>1547</v>
      </c>
      <c r="B344" s="371" t="s">
        <v>219</v>
      </c>
      <c r="C344" s="371">
        <v>2</v>
      </c>
      <c r="D344" s="372">
        <v>1</v>
      </c>
      <c r="E344" s="371" t="s">
        <v>304</v>
      </c>
      <c r="F344" s="371" t="s">
        <v>472</v>
      </c>
      <c r="G344" s="371" t="s">
        <v>215</v>
      </c>
      <c r="H344" s="371" t="s">
        <v>770</v>
      </c>
      <c r="I344" s="371" t="s">
        <v>473</v>
      </c>
      <c r="J344" s="371" t="s">
        <v>313</v>
      </c>
      <c r="K344" s="373" t="str">
        <f>IF(O344="Zauberspruch",L344,O344)</f>
        <v>Zaubersiegel</v>
      </c>
      <c r="L344" s="373" t="s">
        <v>143</v>
      </c>
      <c r="M344" s="374" t="s">
        <v>309</v>
      </c>
      <c r="N344" s="374" t="s">
        <v>309</v>
      </c>
      <c r="O344" s="404" t="s">
        <v>1322</v>
      </c>
      <c r="P344" s="368" t="s">
        <v>1548</v>
      </c>
      <c r="Q344" s="367" t="s">
        <v>1321</v>
      </c>
      <c r="R344" s="367">
        <v>59</v>
      </c>
    </row>
    <row r="345" spans="1:18" ht="20.100000000000001" customHeight="1" x14ac:dyDescent="0.2">
      <c r="A345" s="377" t="s">
        <v>1809</v>
      </c>
      <c r="B345" s="371" t="s">
        <v>220</v>
      </c>
      <c r="C345" s="371">
        <v>5</v>
      </c>
      <c r="D345" s="371">
        <v>4</v>
      </c>
      <c r="E345" s="371" t="s">
        <v>311</v>
      </c>
      <c r="F345" s="371" t="s">
        <v>321</v>
      </c>
      <c r="G345" s="371" t="s">
        <v>217</v>
      </c>
      <c r="H345" s="371" t="s">
        <v>774</v>
      </c>
      <c r="I345" s="371" t="s">
        <v>318</v>
      </c>
      <c r="J345" s="371" t="s">
        <v>313</v>
      </c>
      <c r="K345" s="373" t="str">
        <f>IF(O345="Zauberspruch",L345,O345)</f>
        <v>Formen</v>
      </c>
      <c r="L345" s="373" t="s">
        <v>148</v>
      </c>
      <c r="M345" s="373" t="s">
        <v>322</v>
      </c>
      <c r="N345" s="373" t="s">
        <v>319</v>
      </c>
      <c r="O345" s="373" t="s">
        <v>166</v>
      </c>
      <c r="P345" s="376" t="s">
        <v>75</v>
      </c>
      <c r="Q345" s="367" t="s">
        <v>1872</v>
      </c>
      <c r="R345" s="367">
        <v>10</v>
      </c>
    </row>
    <row r="346" spans="1:18" ht="20.100000000000001" customHeight="1" x14ac:dyDescent="0.2">
      <c r="A346" s="377" t="s">
        <v>571</v>
      </c>
      <c r="B346" s="371" t="s">
        <v>219</v>
      </c>
      <c r="C346" s="371">
        <v>2</v>
      </c>
      <c r="D346" s="371" t="s">
        <v>749</v>
      </c>
      <c r="E346" s="371" t="s">
        <v>304</v>
      </c>
      <c r="F346" s="371" t="s">
        <v>305</v>
      </c>
      <c r="G346" s="371" t="s">
        <v>215</v>
      </c>
      <c r="H346" s="371" t="s">
        <v>772</v>
      </c>
      <c r="I346" s="371" t="s">
        <v>306</v>
      </c>
      <c r="J346" s="371" t="s">
        <v>307</v>
      </c>
      <c r="K346" s="373" t="str">
        <f>IF(O346="Zauberspruch",L346,O346)</f>
        <v>Dweomer</v>
      </c>
      <c r="L346" s="373" t="s">
        <v>137</v>
      </c>
      <c r="M346" s="373" t="s">
        <v>301</v>
      </c>
      <c r="N346" s="373" t="s">
        <v>309</v>
      </c>
      <c r="O346" s="376" t="s">
        <v>146</v>
      </c>
      <c r="P346" s="394" t="s">
        <v>75</v>
      </c>
      <c r="Q346" s="367" t="s">
        <v>748</v>
      </c>
      <c r="R346" s="367">
        <v>156</v>
      </c>
    </row>
    <row r="347" spans="1:18" ht="20.100000000000001" customHeight="1" x14ac:dyDescent="0.2">
      <c r="A347" s="377" t="s">
        <v>572</v>
      </c>
      <c r="B347" s="371" t="s">
        <v>220</v>
      </c>
      <c r="C347" s="371">
        <v>8</v>
      </c>
      <c r="D347" s="372" t="s">
        <v>762</v>
      </c>
      <c r="E347" s="371" t="s">
        <v>354</v>
      </c>
      <c r="F347" s="371" t="s">
        <v>305</v>
      </c>
      <c r="G347" s="371" t="s">
        <v>215</v>
      </c>
      <c r="H347" s="371" t="s">
        <v>773</v>
      </c>
      <c r="I347" s="371" t="s">
        <v>318</v>
      </c>
      <c r="J347" s="371" t="s">
        <v>313</v>
      </c>
      <c r="K347" s="373" t="str">
        <f>IF(O347="Zauberspruch",L347,O347)</f>
        <v>Beherrschen</v>
      </c>
      <c r="L347" s="373" t="s">
        <v>137</v>
      </c>
      <c r="M347" s="374" t="s">
        <v>329</v>
      </c>
      <c r="N347" s="374" t="s">
        <v>309</v>
      </c>
      <c r="O347" s="373" t="s">
        <v>166</v>
      </c>
      <c r="P347" s="368" t="s">
        <v>573</v>
      </c>
      <c r="Q347" s="367" t="s">
        <v>748</v>
      </c>
      <c r="R347" s="367">
        <v>103</v>
      </c>
    </row>
    <row r="348" spans="1:18" ht="20.100000000000001" customHeight="1" x14ac:dyDescent="0.2">
      <c r="A348" s="377" t="s">
        <v>574</v>
      </c>
      <c r="B348" s="371" t="s">
        <v>220</v>
      </c>
      <c r="C348" s="371">
        <v>4</v>
      </c>
      <c r="D348" s="371">
        <v>3</v>
      </c>
      <c r="E348" s="371" t="s">
        <v>484</v>
      </c>
      <c r="F348" s="371" t="s">
        <v>472</v>
      </c>
      <c r="G348" s="371" t="s">
        <v>215</v>
      </c>
      <c r="H348" s="371" t="s">
        <v>75</v>
      </c>
      <c r="I348" s="371" t="s">
        <v>318</v>
      </c>
      <c r="J348" s="371" t="s">
        <v>307</v>
      </c>
      <c r="K348" s="373" t="str">
        <f>IF(O348="Zauberspruch",L348,O348)</f>
        <v>Dweomer</v>
      </c>
      <c r="L348" s="373" t="s">
        <v>137</v>
      </c>
      <c r="M348" s="373" t="s">
        <v>301</v>
      </c>
      <c r="N348" s="373" t="s">
        <v>301</v>
      </c>
      <c r="O348" s="376" t="s">
        <v>146</v>
      </c>
      <c r="P348" s="394" t="s">
        <v>1201</v>
      </c>
      <c r="Q348" s="367" t="s">
        <v>748</v>
      </c>
      <c r="R348" s="367">
        <v>156</v>
      </c>
    </row>
    <row r="349" spans="1:18" ht="20.100000000000001" customHeight="1" x14ac:dyDescent="0.2">
      <c r="A349" s="377" t="s">
        <v>575</v>
      </c>
      <c r="B349" s="371" t="s">
        <v>220</v>
      </c>
      <c r="C349" s="371">
        <v>7</v>
      </c>
      <c r="D349" s="372">
        <v>4</v>
      </c>
      <c r="E349" s="371" t="s">
        <v>354</v>
      </c>
      <c r="F349" s="371" t="s">
        <v>332</v>
      </c>
      <c r="G349" s="371" t="s">
        <v>217</v>
      </c>
      <c r="H349" s="371" t="s">
        <v>787</v>
      </c>
      <c r="I349" s="371" t="s">
        <v>299</v>
      </c>
      <c r="J349" s="371" t="s">
        <v>328</v>
      </c>
      <c r="K349" s="373" t="str">
        <f>IF(O349="Zauberspruch",L349,O349)</f>
        <v>Erschaffen</v>
      </c>
      <c r="L349" s="373" t="s">
        <v>145</v>
      </c>
      <c r="M349" s="374" t="s">
        <v>309</v>
      </c>
      <c r="N349" s="374" t="s">
        <v>309</v>
      </c>
      <c r="O349" s="373" t="s">
        <v>166</v>
      </c>
      <c r="P349" s="368" t="s">
        <v>576</v>
      </c>
      <c r="Q349" s="367" t="s">
        <v>748</v>
      </c>
      <c r="R349" s="367">
        <v>103</v>
      </c>
    </row>
    <row r="350" spans="1:18" ht="20.100000000000001" customHeight="1" x14ac:dyDescent="0.2">
      <c r="A350" s="377" t="s">
        <v>577</v>
      </c>
      <c r="B350" s="371" t="s">
        <v>220</v>
      </c>
      <c r="C350" s="371">
        <v>3</v>
      </c>
      <c r="D350" s="372">
        <v>2</v>
      </c>
      <c r="E350" s="371" t="s">
        <v>311</v>
      </c>
      <c r="F350" s="371" t="s">
        <v>332</v>
      </c>
      <c r="G350" s="371" t="s">
        <v>217</v>
      </c>
      <c r="H350" s="371" t="s">
        <v>788</v>
      </c>
      <c r="I350" s="371" t="s">
        <v>75</v>
      </c>
      <c r="J350" s="371" t="s">
        <v>328</v>
      </c>
      <c r="K350" s="373" t="str">
        <f>IF(O350="Zauberspruch",L350,O350)</f>
        <v>Formen</v>
      </c>
      <c r="L350" s="373" t="s">
        <v>148</v>
      </c>
      <c r="M350" s="374" t="s">
        <v>309</v>
      </c>
      <c r="N350" s="374" t="s">
        <v>314</v>
      </c>
      <c r="O350" s="373" t="s">
        <v>166</v>
      </c>
      <c r="P350" s="368" t="s">
        <v>578</v>
      </c>
      <c r="Q350" s="367" t="s">
        <v>748</v>
      </c>
      <c r="R350" s="367">
        <v>103</v>
      </c>
    </row>
    <row r="351" spans="1:18" ht="20.100000000000001" customHeight="1" x14ac:dyDescent="0.2">
      <c r="A351" s="377" t="s">
        <v>1454</v>
      </c>
      <c r="B351" s="371" t="s">
        <v>218</v>
      </c>
      <c r="C351" s="371">
        <v>2</v>
      </c>
      <c r="D351" s="372">
        <v>1</v>
      </c>
      <c r="E351" s="371" t="s">
        <v>304</v>
      </c>
      <c r="F351" s="371" t="s">
        <v>472</v>
      </c>
      <c r="G351" s="371" t="s">
        <v>216</v>
      </c>
      <c r="H351" s="371" t="s">
        <v>770</v>
      </c>
      <c r="I351" s="371" t="s">
        <v>318</v>
      </c>
      <c r="J351" s="371" t="s">
        <v>313</v>
      </c>
      <c r="K351" s="373" t="str">
        <f>IF(O351="Zauberspruch",L351,O351)</f>
        <v>Zaubersalz</v>
      </c>
      <c r="L351" s="373" t="s">
        <v>138</v>
      </c>
      <c r="M351" s="374" t="s">
        <v>301</v>
      </c>
      <c r="N351" s="374" t="s">
        <v>302</v>
      </c>
      <c r="O351" s="404" t="s">
        <v>1439</v>
      </c>
      <c r="P351" s="368" t="s">
        <v>1706</v>
      </c>
      <c r="Q351" s="367" t="s">
        <v>1321</v>
      </c>
      <c r="R351" s="367">
        <v>48</v>
      </c>
    </row>
    <row r="352" spans="1:18" ht="20.100000000000001" customHeight="1" x14ac:dyDescent="0.2">
      <c r="A352" s="377" t="s">
        <v>579</v>
      </c>
      <c r="B352" s="371" t="s">
        <v>218</v>
      </c>
      <c r="C352" s="371">
        <v>3</v>
      </c>
      <c r="D352" s="372">
        <v>2</v>
      </c>
      <c r="E352" s="371" t="s">
        <v>306</v>
      </c>
      <c r="F352" s="371" t="s">
        <v>369</v>
      </c>
      <c r="G352" s="371" t="s">
        <v>215</v>
      </c>
      <c r="H352" s="371" t="s">
        <v>770</v>
      </c>
      <c r="I352" s="371" t="s">
        <v>306</v>
      </c>
      <c r="J352" s="371" t="s">
        <v>313</v>
      </c>
      <c r="K352" s="373" t="str">
        <f>IF(O352="Zauberspruch",L352,O352)</f>
        <v>Erkennen</v>
      </c>
      <c r="L352" s="373" t="s">
        <v>143</v>
      </c>
      <c r="M352" s="374" t="s">
        <v>322</v>
      </c>
      <c r="N352" s="374" t="s">
        <v>314</v>
      </c>
      <c r="O352" s="373" t="s">
        <v>166</v>
      </c>
      <c r="P352" s="368" t="s">
        <v>75</v>
      </c>
      <c r="Q352" s="367" t="s">
        <v>748</v>
      </c>
      <c r="R352" s="367">
        <v>103</v>
      </c>
    </row>
    <row r="353" spans="1:18" ht="20.100000000000001" customHeight="1" x14ac:dyDescent="0.2">
      <c r="A353" s="377" t="s">
        <v>1549</v>
      </c>
      <c r="B353" s="371" t="s">
        <v>219</v>
      </c>
      <c r="C353" s="371">
        <v>3</v>
      </c>
      <c r="D353" s="372">
        <v>2</v>
      </c>
      <c r="E353" s="371" t="s">
        <v>304</v>
      </c>
      <c r="F353" s="371" t="s">
        <v>1510</v>
      </c>
      <c r="G353" s="371" t="s">
        <v>216</v>
      </c>
      <c r="H353" s="371" t="s">
        <v>770</v>
      </c>
      <c r="I353" s="371" t="s">
        <v>306</v>
      </c>
      <c r="J353" s="371" t="s">
        <v>313</v>
      </c>
      <c r="K353" s="373" t="str">
        <f>IF(O353="Zauberspruch",L353,O353)</f>
        <v>Zaubersiegel</v>
      </c>
      <c r="L353" s="373" t="s">
        <v>143</v>
      </c>
      <c r="M353" s="374" t="s">
        <v>322</v>
      </c>
      <c r="N353" s="374" t="s">
        <v>308</v>
      </c>
      <c r="O353" s="404" t="s">
        <v>1322</v>
      </c>
      <c r="P353" s="368" t="s">
        <v>1702</v>
      </c>
      <c r="Q353" s="367" t="s">
        <v>1321</v>
      </c>
      <c r="R353" s="367">
        <v>59</v>
      </c>
    </row>
    <row r="354" spans="1:18" ht="20.100000000000001" customHeight="1" x14ac:dyDescent="0.2">
      <c r="A354" s="377" t="s">
        <v>580</v>
      </c>
      <c r="B354" s="371" t="s">
        <v>220</v>
      </c>
      <c r="C354" s="371">
        <v>10</v>
      </c>
      <c r="D354" s="372">
        <v>5</v>
      </c>
      <c r="E354" s="371" t="s">
        <v>304</v>
      </c>
      <c r="F354" s="371" t="s">
        <v>25</v>
      </c>
      <c r="G354" s="371" t="s">
        <v>216</v>
      </c>
      <c r="H354" s="371" t="s">
        <v>770</v>
      </c>
      <c r="I354" s="371">
        <v>0</v>
      </c>
      <c r="J354" s="371" t="s">
        <v>370</v>
      </c>
      <c r="K354" s="373" t="str">
        <f>IF(O354="Zauberspruch",L354,O354)</f>
        <v>Zerstören</v>
      </c>
      <c r="L354" s="373" t="s">
        <v>141</v>
      </c>
      <c r="M354" s="374" t="s">
        <v>329</v>
      </c>
      <c r="N354" s="374" t="s">
        <v>302</v>
      </c>
      <c r="O354" s="373" t="s">
        <v>166</v>
      </c>
      <c r="P354" s="368" t="s">
        <v>581</v>
      </c>
      <c r="Q354" s="367" t="s">
        <v>748</v>
      </c>
      <c r="R354" s="367">
        <v>104</v>
      </c>
    </row>
    <row r="355" spans="1:18" ht="20.100000000000001" customHeight="1" x14ac:dyDescent="0.2">
      <c r="A355" s="377" t="s">
        <v>1625</v>
      </c>
      <c r="B355" s="371" t="s">
        <v>220</v>
      </c>
      <c r="C355" s="371">
        <v>4</v>
      </c>
      <c r="D355" s="372">
        <v>2</v>
      </c>
      <c r="E355" s="371" t="s">
        <v>299</v>
      </c>
      <c r="F355" s="371" t="s">
        <v>75</v>
      </c>
      <c r="G355" s="371" t="s">
        <v>217</v>
      </c>
      <c r="H355" s="371" t="s">
        <v>770</v>
      </c>
      <c r="I355" s="371" t="s">
        <v>493</v>
      </c>
      <c r="J355" s="371" t="s">
        <v>300</v>
      </c>
      <c r="K355" s="373" t="str">
        <f>IF(O355="Zauberspruch",L355,O355)</f>
        <v>Zauberrune</v>
      </c>
      <c r="L355" s="373" t="s">
        <v>140</v>
      </c>
      <c r="M355" s="374" t="s">
        <v>314</v>
      </c>
      <c r="N355" s="374" t="s">
        <v>319</v>
      </c>
      <c r="O355" s="404" t="s">
        <v>1601</v>
      </c>
      <c r="P355" s="368" t="s">
        <v>1728</v>
      </c>
      <c r="Q355" s="367" t="s">
        <v>1321</v>
      </c>
      <c r="R355" s="367">
        <v>75</v>
      </c>
    </row>
    <row r="356" spans="1:18" ht="20.100000000000001" customHeight="1" x14ac:dyDescent="0.2">
      <c r="A356" s="377" t="s">
        <v>582</v>
      </c>
      <c r="B356" s="371" t="s">
        <v>220</v>
      </c>
      <c r="C356" s="371">
        <v>6</v>
      </c>
      <c r="D356" s="372">
        <v>4</v>
      </c>
      <c r="E356" s="371" t="s">
        <v>354</v>
      </c>
      <c r="F356" s="371" t="s">
        <v>359</v>
      </c>
      <c r="G356" s="371" t="s">
        <v>217</v>
      </c>
      <c r="H356" s="371" t="s">
        <v>786</v>
      </c>
      <c r="I356" s="371" t="s">
        <v>318</v>
      </c>
      <c r="J356" s="371" t="s">
        <v>307</v>
      </c>
      <c r="K356" s="373" t="str">
        <f>IF(O356="Zauberspruch",L356,O356)</f>
        <v>Bewegen</v>
      </c>
      <c r="L356" s="373" t="s">
        <v>140</v>
      </c>
      <c r="M356" s="374" t="s">
        <v>308</v>
      </c>
      <c r="N356" s="374" t="s">
        <v>301</v>
      </c>
      <c r="O356" s="373" t="s">
        <v>166</v>
      </c>
      <c r="P356" s="368" t="s">
        <v>583</v>
      </c>
      <c r="Q356" s="367" t="s">
        <v>748</v>
      </c>
      <c r="R356" s="367">
        <v>104</v>
      </c>
    </row>
    <row r="357" spans="1:18" ht="20.100000000000001" customHeight="1" x14ac:dyDescent="0.2">
      <c r="A357" s="377" t="s">
        <v>1846</v>
      </c>
      <c r="B357" s="371" t="s">
        <v>220</v>
      </c>
      <c r="C357" s="371">
        <v>7</v>
      </c>
      <c r="D357" s="371">
        <v>4</v>
      </c>
      <c r="E357" s="371" t="s">
        <v>354</v>
      </c>
      <c r="F357" s="371" t="s">
        <v>363</v>
      </c>
      <c r="G357" s="371" t="s">
        <v>217</v>
      </c>
      <c r="H357" s="371" t="s">
        <v>75</v>
      </c>
      <c r="I357" s="371" t="s">
        <v>306</v>
      </c>
      <c r="J357" s="371" t="s">
        <v>307</v>
      </c>
      <c r="K357" s="373" t="str">
        <f>IF(O357="Zauberspruch",L357,O357)</f>
        <v>Dweomer</v>
      </c>
      <c r="L357" s="373" t="s">
        <v>137</v>
      </c>
      <c r="M357" s="373" t="s">
        <v>301</v>
      </c>
      <c r="N357" s="373" t="s">
        <v>301</v>
      </c>
      <c r="O357" s="376" t="s">
        <v>146</v>
      </c>
      <c r="P357" s="376" t="s">
        <v>75</v>
      </c>
      <c r="Q357" s="367" t="s">
        <v>1872</v>
      </c>
      <c r="R357" s="367">
        <v>23</v>
      </c>
    </row>
    <row r="358" spans="1:18" ht="20.100000000000001" customHeight="1" x14ac:dyDescent="0.2">
      <c r="A358" s="377" t="s">
        <v>1768</v>
      </c>
      <c r="B358" s="371" t="s">
        <v>220</v>
      </c>
      <c r="C358" s="371">
        <v>10</v>
      </c>
      <c r="D358" s="371">
        <v>9</v>
      </c>
      <c r="E358" s="371" t="s">
        <v>299</v>
      </c>
      <c r="F358" s="371" t="s">
        <v>335</v>
      </c>
      <c r="G358" s="371" t="s">
        <v>217</v>
      </c>
      <c r="H358" s="371" t="s">
        <v>1788</v>
      </c>
      <c r="I358" s="371" t="s">
        <v>338</v>
      </c>
      <c r="J358" s="371" t="s">
        <v>313</v>
      </c>
      <c r="K358" s="373" t="str">
        <f>IF(O358="Zauberspruch",L358,O358)</f>
        <v>Formen</v>
      </c>
      <c r="L358" s="373" t="s">
        <v>148</v>
      </c>
      <c r="M358" s="373" t="s">
        <v>322</v>
      </c>
      <c r="N358" s="373" t="s">
        <v>319</v>
      </c>
      <c r="O358" s="373" t="s">
        <v>166</v>
      </c>
      <c r="P358" s="376" t="s">
        <v>1865</v>
      </c>
      <c r="Q358" s="367" t="s">
        <v>1872</v>
      </c>
      <c r="R358" s="367">
        <v>10</v>
      </c>
    </row>
    <row r="359" spans="1:18" ht="20.100000000000001" customHeight="1" x14ac:dyDescent="0.2">
      <c r="A359" s="377" t="s">
        <v>1784</v>
      </c>
      <c r="B359" s="371" t="s">
        <v>219</v>
      </c>
      <c r="C359" s="388">
        <v>11</v>
      </c>
      <c r="D359" s="388">
        <v>9</v>
      </c>
      <c r="E359" s="371" t="s">
        <v>304</v>
      </c>
      <c r="F359" s="372" t="s">
        <v>335</v>
      </c>
      <c r="G359" s="371" t="s">
        <v>217</v>
      </c>
      <c r="H359" s="371" t="s">
        <v>1788</v>
      </c>
      <c r="I359" s="371" t="s">
        <v>338</v>
      </c>
      <c r="J359" s="371" t="s">
        <v>313</v>
      </c>
      <c r="K359" s="373" t="str">
        <f>IF(O359="Zauberspruch",L359,O359)</f>
        <v>Zaubersiegel</v>
      </c>
      <c r="L359" s="373" t="s">
        <v>148</v>
      </c>
      <c r="M359" s="373" t="s">
        <v>322</v>
      </c>
      <c r="N359" s="373" t="s">
        <v>319</v>
      </c>
      <c r="O359" s="404" t="s">
        <v>1322</v>
      </c>
      <c r="P359" s="376" t="s">
        <v>1865</v>
      </c>
      <c r="Q359" s="367" t="s">
        <v>1797</v>
      </c>
      <c r="R359" s="367">
        <v>5</v>
      </c>
    </row>
    <row r="360" spans="1:18" ht="20.100000000000001" customHeight="1" x14ac:dyDescent="0.2">
      <c r="A360" s="377" t="s">
        <v>1847</v>
      </c>
      <c r="B360" s="371" t="s">
        <v>220</v>
      </c>
      <c r="C360" s="371">
        <v>1</v>
      </c>
      <c r="D360" s="371">
        <v>1</v>
      </c>
      <c r="E360" s="371" t="s">
        <v>304</v>
      </c>
      <c r="F360" s="371" t="s">
        <v>321</v>
      </c>
      <c r="G360" s="371" t="s">
        <v>217</v>
      </c>
      <c r="H360" s="371" t="s">
        <v>770</v>
      </c>
      <c r="I360" s="371" t="s">
        <v>493</v>
      </c>
      <c r="J360" s="371" t="s">
        <v>307</v>
      </c>
      <c r="K360" s="373" t="str">
        <f>IF(O360="Zauberspruch",L360,O360)</f>
        <v>Dweomer</v>
      </c>
      <c r="L360" s="373" t="s">
        <v>148</v>
      </c>
      <c r="M360" s="373" t="s">
        <v>301</v>
      </c>
      <c r="N360" s="373" t="s">
        <v>302</v>
      </c>
      <c r="O360" s="376" t="s">
        <v>146</v>
      </c>
      <c r="P360" s="376" t="s">
        <v>1848</v>
      </c>
      <c r="Q360" s="367" t="s">
        <v>1872</v>
      </c>
      <c r="R360" s="367">
        <v>23</v>
      </c>
    </row>
    <row r="361" spans="1:18" ht="20.100000000000001" customHeight="1" x14ac:dyDescent="0.2">
      <c r="A361" s="377" t="s">
        <v>1832</v>
      </c>
      <c r="B361" s="371" t="s">
        <v>220</v>
      </c>
      <c r="C361" s="371">
        <v>8</v>
      </c>
      <c r="D361" s="371">
        <v>4</v>
      </c>
      <c r="E361" s="371" t="s">
        <v>306</v>
      </c>
      <c r="F361" s="371" t="s">
        <v>417</v>
      </c>
      <c r="G361" s="371" t="s">
        <v>215</v>
      </c>
      <c r="H361" s="371" t="s">
        <v>791</v>
      </c>
      <c r="I361" s="371" t="s">
        <v>484</v>
      </c>
      <c r="J361" s="371" t="s">
        <v>300</v>
      </c>
      <c r="K361" s="373" t="str">
        <f>IF(O361="Zauberspruch",L361,O361)</f>
        <v>Wundertat</v>
      </c>
      <c r="L361" s="373" t="s">
        <v>143</v>
      </c>
      <c r="M361" s="373" t="s">
        <v>308</v>
      </c>
      <c r="N361" s="373" t="s">
        <v>308</v>
      </c>
      <c r="O361" s="376" t="s">
        <v>1183</v>
      </c>
      <c r="P361" s="376" t="s">
        <v>1883</v>
      </c>
      <c r="Q361" s="367" t="s">
        <v>1872</v>
      </c>
      <c r="R361" s="367">
        <v>18</v>
      </c>
    </row>
    <row r="362" spans="1:18" ht="20.100000000000001" customHeight="1" x14ac:dyDescent="0.2">
      <c r="A362" s="377" t="s">
        <v>1455</v>
      </c>
      <c r="B362" s="371" t="s">
        <v>218</v>
      </c>
      <c r="C362" s="371">
        <v>1</v>
      </c>
      <c r="D362" s="372">
        <v>1</v>
      </c>
      <c r="E362" s="371" t="s">
        <v>304</v>
      </c>
      <c r="F362" s="371" t="s">
        <v>472</v>
      </c>
      <c r="G362" s="371" t="s">
        <v>217</v>
      </c>
      <c r="H362" s="371" t="s">
        <v>776</v>
      </c>
      <c r="I362" s="371" t="s">
        <v>306</v>
      </c>
      <c r="J362" s="371" t="s">
        <v>313</v>
      </c>
      <c r="K362" s="373" t="str">
        <f>IF(O362="Zauberspruch",L362,O362)</f>
        <v>Zaubersalz</v>
      </c>
      <c r="L362" s="373" t="s">
        <v>145</v>
      </c>
      <c r="M362" s="374" t="s">
        <v>308</v>
      </c>
      <c r="N362" s="374" t="s">
        <v>314</v>
      </c>
      <c r="O362" s="404" t="s">
        <v>1439</v>
      </c>
      <c r="P362" s="368" t="s">
        <v>1706</v>
      </c>
      <c r="Q362" s="367" t="s">
        <v>1321</v>
      </c>
      <c r="R362" s="367">
        <v>48</v>
      </c>
    </row>
    <row r="363" spans="1:18" ht="20.100000000000001" customHeight="1" x14ac:dyDescent="0.2">
      <c r="A363" s="377" t="s">
        <v>584</v>
      </c>
      <c r="B363" s="371" t="s">
        <v>220</v>
      </c>
      <c r="C363" s="371">
        <v>4</v>
      </c>
      <c r="D363" s="372">
        <v>2</v>
      </c>
      <c r="E363" s="371" t="s">
        <v>311</v>
      </c>
      <c r="F363" s="371" t="s">
        <v>305</v>
      </c>
      <c r="G363" s="371" t="s">
        <v>217</v>
      </c>
      <c r="H363" s="371" t="s">
        <v>768</v>
      </c>
      <c r="I363" s="371" t="s">
        <v>306</v>
      </c>
      <c r="J363" s="371" t="s">
        <v>328</v>
      </c>
      <c r="K363" s="373" t="str">
        <f>IF(O363="Zauberspruch",L363,O363)</f>
        <v>Formen</v>
      </c>
      <c r="L363" s="373" t="s">
        <v>148</v>
      </c>
      <c r="M363" s="374" t="s">
        <v>308</v>
      </c>
      <c r="N363" s="374" t="s">
        <v>314</v>
      </c>
      <c r="O363" s="373" t="s">
        <v>166</v>
      </c>
      <c r="P363" s="368" t="s">
        <v>585</v>
      </c>
      <c r="Q363" s="367" t="s">
        <v>748</v>
      </c>
      <c r="R363" s="367">
        <v>105</v>
      </c>
    </row>
    <row r="364" spans="1:18" ht="20.100000000000001" customHeight="1" x14ac:dyDescent="0.2">
      <c r="A364" s="377" t="s">
        <v>1550</v>
      </c>
      <c r="B364" s="371" t="s">
        <v>219</v>
      </c>
      <c r="C364" s="371">
        <v>4</v>
      </c>
      <c r="D364" s="372">
        <v>2</v>
      </c>
      <c r="E364" s="371" t="s">
        <v>304</v>
      </c>
      <c r="F364" s="371" t="s">
        <v>305</v>
      </c>
      <c r="G364" s="371" t="s">
        <v>217</v>
      </c>
      <c r="H364" s="371" t="s">
        <v>768</v>
      </c>
      <c r="I364" s="371" t="s">
        <v>306</v>
      </c>
      <c r="J364" s="371" t="s">
        <v>328</v>
      </c>
      <c r="K364" s="373" t="str">
        <f>IF(O364="Zauberspruch",L364,O364)</f>
        <v>Zaubersiegel</v>
      </c>
      <c r="L364" s="373" t="s">
        <v>148</v>
      </c>
      <c r="M364" s="374" t="s">
        <v>308</v>
      </c>
      <c r="N364" s="374" t="s">
        <v>314</v>
      </c>
      <c r="O364" s="404" t="s">
        <v>1322</v>
      </c>
      <c r="P364" s="368" t="s">
        <v>1506</v>
      </c>
      <c r="Q364" s="367" t="s">
        <v>1321</v>
      </c>
      <c r="R364" s="367">
        <v>59</v>
      </c>
    </row>
    <row r="365" spans="1:18" ht="20.100000000000001" customHeight="1" x14ac:dyDescent="0.2">
      <c r="A365" s="377" t="s">
        <v>1456</v>
      </c>
      <c r="B365" s="371" t="s">
        <v>218</v>
      </c>
      <c r="C365" s="371">
        <v>1</v>
      </c>
      <c r="D365" s="372">
        <v>1</v>
      </c>
      <c r="E365" s="371" t="s">
        <v>304</v>
      </c>
      <c r="F365" s="371" t="s">
        <v>472</v>
      </c>
      <c r="G365" s="371" t="s">
        <v>216</v>
      </c>
      <c r="H365" s="371" t="s">
        <v>770</v>
      </c>
      <c r="I365" s="371">
        <v>0</v>
      </c>
      <c r="J365" s="371" t="s">
        <v>313</v>
      </c>
      <c r="K365" s="373" t="str">
        <f>IF(O365="Zauberspruch",L365,O365)</f>
        <v>Zaubersalz</v>
      </c>
      <c r="L365" s="373" t="s">
        <v>138</v>
      </c>
      <c r="M365" s="374" t="s">
        <v>309</v>
      </c>
      <c r="N365" s="374" t="s">
        <v>302</v>
      </c>
      <c r="O365" s="404" t="s">
        <v>1439</v>
      </c>
      <c r="P365" s="368" t="s">
        <v>1706</v>
      </c>
      <c r="Q365" s="367" t="s">
        <v>1321</v>
      </c>
      <c r="R365" s="367">
        <v>48</v>
      </c>
    </row>
    <row r="366" spans="1:18" ht="20.100000000000001" customHeight="1" x14ac:dyDescent="0.2">
      <c r="A366" s="377" t="s">
        <v>586</v>
      </c>
      <c r="B366" s="371" t="s">
        <v>220</v>
      </c>
      <c r="C366" s="371">
        <v>2</v>
      </c>
      <c r="D366" s="372">
        <v>1</v>
      </c>
      <c r="E366" s="371" t="s">
        <v>324</v>
      </c>
      <c r="F366" s="371" t="s">
        <v>305</v>
      </c>
      <c r="G366" s="371" t="s">
        <v>215</v>
      </c>
      <c r="H366" s="371" t="s">
        <v>770</v>
      </c>
      <c r="I366" s="371" t="s">
        <v>306</v>
      </c>
      <c r="J366" s="371" t="s">
        <v>313</v>
      </c>
      <c r="K366" s="373" t="str">
        <f>IF(O366="Zauberspruch",L366,O366)</f>
        <v>Verändern</v>
      </c>
      <c r="L366" s="373" t="s">
        <v>138</v>
      </c>
      <c r="M366" s="374" t="s">
        <v>322</v>
      </c>
      <c r="N366" s="374" t="s">
        <v>308</v>
      </c>
      <c r="O366" s="373" t="s">
        <v>166</v>
      </c>
      <c r="P366" s="368" t="s">
        <v>75</v>
      </c>
      <c r="Q366" s="367" t="s">
        <v>748</v>
      </c>
      <c r="R366" s="367">
        <v>105</v>
      </c>
    </row>
    <row r="367" spans="1:18" ht="20.100000000000001" customHeight="1" x14ac:dyDescent="0.2">
      <c r="A367" s="377" t="s">
        <v>1551</v>
      </c>
      <c r="B367" s="371" t="s">
        <v>219</v>
      </c>
      <c r="C367" s="371">
        <v>2</v>
      </c>
      <c r="D367" s="372">
        <v>1</v>
      </c>
      <c r="E367" s="371" t="s">
        <v>304</v>
      </c>
      <c r="F367" s="371" t="s">
        <v>305</v>
      </c>
      <c r="G367" s="371" t="s">
        <v>215</v>
      </c>
      <c r="H367" s="371" t="s">
        <v>770</v>
      </c>
      <c r="I367" s="371" t="s">
        <v>306</v>
      </c>
      <c r="J367" s="371" t="s">
        <v>313</v>
      </c>
      <c r="K367" s="373" t="str">
        <f>IF(O367="Zauberspruch",L367,O367)</f>
        <v>Zaubersiegel</v>
      </c>
      <c r="L367" s="373" t="s">
        <v>138</v>
      </c>
      <c r="M367" s="374" t="s">
        <v>322</v>
      </c>
      <c r="N367" s="374" t="s">
        <v>308</v>
      </c>
      <c r="O367" s="404" t="s">
        <v>1322</v>
      </c>
      <c r="P367" s="368" t="s">
        <v>1497</v>
      </c>
      <c r="Q367" s="367" t="s">
        <v>1321</v>
      </c>
      <c r="R367" s="367">
        <v>59</v>
      </c>
    </row>
    <row r="368" spans="1:18" ht="20.100000000000001" customHeight="1" x14ac:dyDescent="0.2">
      <c r="A368" s="377" t="s">
        <v>1626</v>
      </c>
      <c r="B368" s="371" t="s">
        <v>220</v>
      </c>
      <c r="C368" s="371">
        <v>2</v>
      </c>
      <c r="D368" s="372">
        <v>1</v>
      </c>
      <c r="E368" s="371" t="s">
        <v>299</v>
      </c>
      <c r="F368" s="371" t="s">
        <v>75</v>
      </c>
      <c r="G368" s="371" t="s">
        <v>215</v>
      </c>
      <c r="H368" s="371" t="s">
        <v>770</v>
      </c>
      <c r="I368" s="371" t="s">
        <v>493</v>
      </c>
      <c r="J368" s="371" t="s">
        <v>300</v>
      </c>
      <c r="K368" s="373" t="str">
        <f>IF(O368="Zauberspruch",L368,O368)</f>
        <v>Zauberrune</v>
      </c>
      <c r="L368" s="373" t="s">
        <v>140</v>
      </c>
      <c r="M368" s="374" t="s">
        <v>314</v>
      </c>
      <c r="N368" s="374" t="s">
        <v>308</v>
      </c>
      <c r="O368" s="404" t="s">
        <v>1601</v>
      </c>
      <c r="P368" s="368" t="s">
        <v>1729</v>
      </c>
      <c r="Q368" s="367" t="s">
        <v>1321</v>
      </c>
      <c r="R368" s="367">
        <v>75</v>
      </c>
    </row>
    <row r="369" spans="1:18" ht="20.100000000000001" customHeight="1" x14ac:dyDescent="0.2">
      <c r="A369" s="377" t="s">
        <v>1552</v>
      </c>
      <c r="B369" s="371" t="s">
        <v>219</v>
      </c>
      <c r="C369" s="371">
        <v>7</v>
      </c>
      <c r="D369" s="372">
        <v>5</v>
      </c>
      <c r="E369" s="371" t="s">
        <v>304</v>
      </c>
      <c r="F369" s="371" t="s">
        <v>25</v>
      </c>
      <c r="G369" s="371" t="s">
        <v>216</v>
      </c>
      <c r="H369" s="371" t="s">
        <v>770</v>
      </c>
      <c r="I369" s="371">
        <v>0</v>
      </c>
      <c r="J369" s="371" t="s">
        <v>313</v>
      </c>
      <c r="K369" s="373" t="str">
        <f>IF(O369="Zauberspruch",L369,O369)</f>
        <v>Zaubersiegel</v>
      </c>
      <c r="L369" s="373" t="s">
        <v>145</v>
      </c>
      <c r="M369" s="374" t="s">
        <v>322</v>
      </c>
      <c r="N369" s="374" t="s">
        <v>308</v>
      </c>
      <c r="O369" s="404" t="s">
        <v>1322</v>
      </c>
      <c r="P369" s="368" t="s">
        <v>1524</v>
      </c>
      <c r="Q369" s="367" t="s">
        <v>1321</v>
      </c>
      <c r="R369" s="367">
        <v>59</v>
      </c>
    </row>
    <row r="370" spans="1:18" ht="20.100000000000001" customHeight="1" x14ac:dyDescent="0.2">
      <c r="A370" s="377" t="s">
        <v>1627</v>
      </c>
      <c r="B370" s="371" t="s">
        <v>220</v>
      </c>
      <c r="C370" s="371">
        <v>5</v>
      </c>
      <c r="D370" s="372">
        <v>9</v>
      </c>
      <c r="E370" s="371" t="s">
        <v>299</v>
      </c>
      <c r="F370" s="371" t="s">
        <v>75</v>
      </c>
      <c r="G370" s="371" t="s">
        <v>217</v>
      </c>
      <c r="H370" s="371" t="s">
        <v>779</v>
      </c>
      <c r="I370" s="371" t="s">
        <v>397</v>
      </c>
      <c r="J370" s="371" t="s">
        <v>300</v>
      </c>
      <c r="K370" s="373" t="str">
        <f>IF(O370="Zauberspruch",L370,O370)</f>
        <v>Zauberrune</v>
      </c>
      <c r="L370" s="373" t="s">
        <v>145</v>
      </c>
      <c r="M370" s="374" t="s">
        <v>322</v>
      </c>
      <c r="N370" s="374" t="s">
        <v>309</v>
      </c>
      <c r="O370" s="404" t="s">
        <v>1601</v>
      </c>
      <c r="P370" s="368" t="s">
        <v>1730</v>
      </c>
      <c r="Q370" s="367" t="s">
        <v>1321</v>
      </c>
      <c r="R370" s="367">
        <v>76</v>
      </c>
    </row>
    <row r="371" spans="1:18" ht="20.100000000000001" customHeight="1" x14ac:dyDescent="0.2">
      <c r="A371" s="377" t="s">
        <v>1810</v>
      </c>
      <c r="B371" s="371" t="s">
        <v>220</v>
      </c>
      <c r="C371" s="371">
        <v>5</v>
      </c>
      <c r="D371" s="373" t="s">
        <v>1860</v>
      </c>
      <c r="E371" s="371" t="s">
        <v>306</v>
      </c>
      <c r="F371" s="371" t="s">
        <v>332</v>
      </c>
      <c r="G371" s="371" t="s">
        <v>217</v>
      </c>
      <c r="H371" s="371" t="s">
        <v>1856</v>
      </c>
      <c r="I371" s="371" t="s">
        <v>397</v>
      </c>
      <c r="J371" s="371" t="s">
        <v>328</v>
      </c>
      <c r="K371" s="373" t="str">
        <f>IF(O371="Zauberspruch",L371,O371)</f>
        <v>Erschaffen</v>
      </c>
      <c r="L371" s="373" t="s">
        <v>145</v>
      </c>
      <c r="M371" s="373" t="s">
        <v>322</v>
      </c>
      <c r="N371" s="373" t="s">
        <v>309</v>
      </c>
      <c r="O371" s="373" t="s">
        <v>166</v>
      </c>
      <c r="P371" s="376" t="s">
        <v>1811</v>
      </c>
      <c r="Q371" s="367" t="s">
        <v>1872</v>
      </c>
      <c r="R371" s="367">
        <v>11</v>
      </c>
    </row>
    <row r="372" spans="1:18" ht="20.100000000000001" customHeight="1" x14ac:dyDescent="0.2">
      <c r="A372" s="377" t="s">
        <v>587</v>
      </c>
      <c r="B372" s="371" t="s">
        <v>220</v>
      </c>
      <c r="C372" s="371">
        <v>1</v>
      </c>
      <c r="D372" s="387">
        <v>1</v>
      </c>
      <c r="E372" s="371" t="s">
        <v>306</v>
      </c>
      <c r="F372" s="371" t="s">
        <v>417</v>
      </c>
      <c r="G372" s="371" t="s">
        <v>217</v>
      </c>
      <c r="H372" s="371" t="s">
        <v>588</v>
      </c>
      <c r="I372" s="371">
        <v>0</v>
      </c>
      <c r="J372" s="388" t="s">
        <v>300</v>
      </c>
      <c r="K372" s="373" t="str">
        <f>IF(O372="Zauberspruch",L372,O372)</f>
        <v>Wundertat</v>
      </c>
      <c r="L372" s="376" t="s">
        <v>141</v>
      </c>
      <c r="M372" s="376" t="s">
        <v>301</v>
      </c>
      <c r="N372" s="376" t="s">
        <v>329</v>
      </c>
      <c r="O372" s="376" t="s">
        <v>1183</v>
      </c>
      <c r="P372" s="389" t="s">
        <v>75</v>
      </c>
      <c r="Q372" s="367" t="s">
        <v>748</v>
      </c>
      <c r="R372" s="367">
        <v>145</v>
      </c>
    </row>
    <row r="373" spans="1:18" ht="20.100000000000001" customHeight="1" x14ac:dyDescent="0.2">
      <c r="A373" s="377" t="s">
        <v>1421</v>
      </c>
      <c r="B373" s="371" t="s">
        <v>220</v>
      </c>
      <c r="C373" s="371">
        <v>2</v>
      </c>
      <c r="D373" s="372">
        <v>2</v>
      </c>
      <c r="E373" s="371" t="s">
        <v>484</v>
      </c>
      <c r="F373" s="371" t="s">
        <v>25</v>
      </c>
      <c r="G373" s="371" t="s">
        <v>216</v>
      </c>
      <c r="H373" s="371" t="s">
        <v>770</v>
      </c>
      <c r="I373" s="371">
        <v>0</v>
      </c>
      <c r="J373" s="371" t="s">
        <v>313</v>
      </c>
      <c r="K373" s="373" t="str">
        <f>IF(O373="Zauberspruch",L373,O373)</f>
        <v>Thaumatherapie</v>
      </c>
      <c r="L373" s="373" t="s">
        <v>141</v>
      </c>
      <c r="M373" s="374" t="s">
        <v>322</v>
      </c>
      <c r="N373" s="374" t="s">
        <v>322</v>
      </c>
      <c r="O373" s="404" t="s">
        <v>1340</v>
      </c>
      <c r="P373" s="368" t="s">
        <v>75</v>
      </c>
      <c r="Q373" s="367" t="s">
        <v>1321</v>
      </c>
      <c r="R373" s="367">
        <v>87</v>
      </c>
    </row>
    <row r="374" spans="1:18" ht="20.100000000000001" customHeight="1" x14ac:dyDescent="0.2">
      <c r="A374" s="377" t="s">
        <v>589</v>
      </c>
      <c r="B374" s="371" t="s">
        <v>218</v>
      </c>
      <c r="C374" s="371">
        <v>8</v>
      </c>
      <c r="D374" s="372">
        <v>6</v>
      </c>
      <c r="E374" s="371" t="s">
        <v>299</v>
      </c>
      <c r="F374" s="371" t="s">
        <v>75</v>
      </c>
      <c r="G374" s="371" t="s">
        <v>215</v>
      </c>
      <c r="H374" s="371" t="s">
        <v>791</v>
      </c>
      <c r="I374" s="371" t="s">
        <v>397</v>
      </c>
      <c r="J374" s="371" t="s">
        <v>307</v>
      </c>
      <c r="K374" s="373" t="str">
        <f>IF(O374="Zauberspruch",L374,O374)</f>
        <v>Bewegen</v>
      </c>
      <c r="L374" s="373" t="s">
        <v>140</v>
      </c>
      <c r="M374" s="374" t="s">
        <v>314</v>
      </c>
      <c r="N374" s="374" t="s">
        <v>308</v>
      </c>
      <c r="O374" s="373" t="s">
        <v>166</v>
      </c>
      <c r="P374" s="368" t="s">
        <v>75</v>
      </c>
      <c r="Q374" s="367" t="s">
        <v>748</v>
      </c>
      <c r="R374" s="367">
        <v>105</v>
      </c>
    </row>
    <row r="375" spans="1:18" ht="20.100000000000001" customHeight="1" x14ac:dyDescent="0.2">
      <c r="A375" s="377" t="s">
        <v>1882</v>
      </c>
      <c r="B375" s="371" t="s">
        <v>218</v>
      </c>
      <c r="C375" s="371">
        <v>10</v>
      </c>
      <c r="D375" s="371" t="s">
        <v>1861</v>
      </c>
      <c r="E375" s="371" t="s">
        <v>299</v>
      </c>
      <c r="F375" s="371" t="s">
        <v>75</v>
      </c>
      <c r="G375" s="371" t="s">
        <v>215</v>
      </c>
      <c r="H375" s="371" t="s">
        <v>791</v>
      </c>
      <c r="I375" s="371" t="s">
        <v>397</v>
      </c>
      <c r="J375" s="371" t="s">
        <v>313</v>
      </c>
      <c r="K375" s="373" t="str">
        <f>IF(O375="Zauberspruch",L375,O375)</f>
        <v>Bewegen</v>
      </c>
      <c r="L375" s="373" t="s">
        <v>140</v>
      </c>
      <c r="M375" s="373" t="s">
        <v>314</v>
      </c>
      <c r="N375" s="373" t="s">
        <v>308</v>
      </c>
      <c r="O375" s="373" t="s">
        <v>166</v>
      </c>
      <c r="P375" s="376" t="s">
        <v>75</v>
      </c>
      <c r="Q375" s="367" t="s">
        <v>1872</v>
      </c>
      <c r="R375" s="367">
        <v>11</v>
      </c>
    </row>
    <row r="376" spans="1:18" ht="20.100000000000001" customHeight="1" x14ac:dyDescent="0.2">
      <c r="A376" s="377" t="s">
        <v>1812</v>
      </c>
      <c r="B376" s="371" t="s">
        <v>220</v>
      </c>
      <c r="C376" s="371">
        <v>11</v>
      </c>
      <c r="D376" s="371">
        <v>18</v>
      </c>
      <c r="E376" s="371" t="s">
        <v>299</v>
      </c>
      <c r="F376" s="371" t="s">
        <v>75</v>
      </c>
      <c r="G376" s="371" t="s">
        <v>216</v>
      </c>
      <c r="H376" s="371" t="s">
        <v>771</v>
      </c>
      <c r="I376" s="371">
        <v>0</v>
      </c>
      <c r="J376" s="371" t="s">
        <v>313</v>
      </c>
      <c r="K376" s="373" t="str">
        <f>IF(O376="Zauberspruch",L376,O376)</f>
        <v>Bewegen</v>
      </c>
      <c r="L376" s="373" t="s">
        <v>140</v>
      </c>
      <c r="M376" s="373" t="s">
        <v>308</v>
      </c>
      <c r="N376" s="373" t="s">
        <v>319</v>
      </c>
      <c r="O376" s="373" t="s">
        <v>166</v>
      </c>
      <c r="P376" s="376" t="s">
        <v>1866</v>
      </c>
      <c r="Q376" s="367" t="s">
        <v>1872</v>
      </c>
      <c r="R376" s="367">
        <v>11</v>
      </c>
    </row>
    <row r="377" spans="1:18" ht="20.100000000000001" customHeight="1" x14ac:dyDescent="0.2">
      <c r="A377" s="377" t="s">
        <v>1628</v>
      </c>
      <c r="B377" s="371" t="s">
        <v>220</v>
      </c>
      <c r="C377" s="371">
        <v>2</v>
      </c>
      <c r="D377" s="372">
        <v>1</v>
      </c>
      <c r="E377" s="371" t="s">
        <v>299</v>
      </c>
      <c r="F377" s="371" t="s">
        <v>75</v>
      </c>
      <c r="G377" s="371" t="s">
        <v>216</v>
      </c>
      <c r="H377" s="371" t="s">
        <v>770</v>
      </c>
      <c r="I377" s="371" t="s">
        <v>1616</v>
      </c>
      <c r="J377" s="371" t="s">
        <v>300</v>
      </c>
      <c r="K377" s="373" t="str">
        <f>IF(O377="Zauberspruch",L377,O377)</f>
        <v>Zauberrune</v>
      </c>
      <c r="L377" s="373" t="s">
        <v>138</v>
      </c>
      <c r="M377" s="374" t="s">
        <v>322</v>
      </c>
      <c r="N377" s="374" t="s">
        <v>309</v>
      </c>
      <c r="O377" s="404" t="s">
        <v>1601</v>
      </c>
      <c r="P377" s="368" t="s">
        <v>1731</v>
      </c>
      <c r="Q377" s="367" t="s">
        <v>1321</v>
      </c>
      <c r="R377" s="367">
        <v>76</v>
      </c>
    </row>
    <row r="378" spans="1:18" ht="20.100000000000001" customHeight="1" x14ac:dyDescent="0.2">
      <c r="A378" s="377" t="s">
        <v>1457</v>
      </c>
      <c r="B378" s="371" t="s">
        <v>218</v>
      </c>
      <c r="C378" s="371">
        <v>1</v>
      </c>
      <c r="D378" s="372">
        <v>1</v>
      </c>
      <c r="E378" s="371" t="s">
        <v>304</v>
      </c>
      <c r="F378" s="371" t="s">
        <v>472</v>
      </c>
      <c r="G378" s="371" t="s">
        <v>217</v>
      </c>
      <c r="H378" s="371" t="s">
        <v>775</v>
      </c>
      <c r="I378" s="371">
        <v>0</v>
      </c>
      <c r="J378" s="371" t="s">
        <v>313</v>
      </c>
      <c r="K378" s="373" t="str">
        <f>IF(O378="Zauberspruch",L378,O378)</f>
        <v>Zaubersalz</v>
      </c>
      <c r="L378" s="373" t="s">
        <v>148</v>
      </c>
      <c r="M378" s="374" t="s">
        <v>329</v>
      </c>
      <c r="N378" s="374" t="s">
        <v>314</v>
      </c>
      <c r="O378" s="404" t="s">
        <v>1439</v>
      </c>
      <c r="P378" s="368" t="s">
        <v>1706</v>
      </c>
      <c r="Q378" s="367" t="s">
        <v>1321</v>
      </c>
      <c r="R378" s="367">
        <v>48</v>
      </c>
    </row>
    <row r="379" spans="1:18" ht="20.100000000000001" customHeight="1" x14ac:dyDescent="0.2">
      <c r="A379" s="377" t="s">
        <v>96</v>
      </c>
      <c r="B379" s="371" t="s">
        <v>220</v>
      </c>
      <c r="C379" s="371">
        <v>4</v>
      </c>
      <c r="D379" s="371">
        <v>2</v>
      </c>
      <c r="E379" s="371" t="s">
        <v>311</v>
      </c>
      <c r="F379" s="371" t="s">
        <v>25</v>
      </c>
      <c r="G379" s="371" t="s">
        <v>216</v>
      </c>
      <c r="H379" s="371" t="s">
        <v>770</v>
      </c>
      <c r="I379" s="371" t="s">
        <v>306</v>
      </c>
      <c r="J379" s="371" t="s">
        <v>307</v>
      </c>
      <c r="K379" s="373" t="str">
        <f>IF(O379="Zauberspruch",L379,O379)</f>
        <v>Dweomer</v>
      </c>
      <c r="L379" s="373" t="s">
        <v>138</v>
      </c>
      <c r="M379" s="373" t="s">
        <v>301</v>
      </c>
      <c r="N379" s="373" t="s">
        <v>302</v>
      </c>
      <c r="O379" s="376" t="s">
        <v>146</v>
      </c>
      <c r="P379" s="394" t="s">
        <v>590</v>
      </c>
      <c r="Q379" s="367" t="s">
        <v>748</v>
      </c>
      <c r="R379" s="367">
        <v>157</v>
      </c>
    </row>
    <row r="380" spans="1:18" ht="20.100000000000001" customHeight="1" x14ac:dyDescent="0.2">
      <c r="A380" s="377" t="s">
        <v>591</v>
      </c>
      <c r="B380" s="371" t="s">
        <v>220</v>
      </c>
      <c r="C380" s="371">
        <v>5</v>
      </c>
      <c r="D380" s="371">
        <v>4</v>
      </c>
      <c r="E380" s="371" t="s">
        <v>304</v>
      </c>
      <c r="F380" s="371" t="s">
        <v>332</v>
      </c>
      <c r="G380" s="371" t="s">
        <v>217</v>
      </c>
      <c r="H380" s="371" t="s">
        <v>797</v>
      </c>
      <c r="I380" s="371" t="s">
        <v>347</v>
      </c>
      <c r="J380" s="371" t="s">
        <v>307</v>
      </c>
      <c r="K380" s="373" t="str">
        <f>IF(O380="Zauberspruch",L380,O380)</f>
        <v>Dweomer</v>
      </c>
      <c r="L380" s="373" t="s">
        <v>141</v>
      </c>
      <c r="M380" s="373" t="s">
        <v>301</v>
      </c>
      <c r="N380" s="373" t="s">
        <v>329</v>
      </c>
      <c r="O380" s="376" t="s">
        <v>146</v>
      </c>
      <c r="P380" s="394" t="s">
        <v>592</v>
      </c>
      <c r="Q380" s="367" t="s">
        <v>748</v>
      </c>
      <c r="R380" s="367">
        <v>157</v>
      </c>
    </row>
    <row r="381" spans="1:18" ht="20.100000000000001" customHeight="1" x14ac:dyDescent="0.2">
      <c r="A381" s="377" t="s">
        <v>593</v>
      </c>
      <c r="B381" s="371" t="s">
        <v>220</v>
      </c>
      <c r="C381" s="371">
        <v>1</v>
      </c>
      <c r="D381" s="372">
        <v>2</v>
      </c>
      <c r="E381" s="371" t="s">
        <v>304</v>
      </c>
      <c r="F381" s="371" t="s">
        <v>25</v>
      </c>
      <c r="G381" s="371" t="s">
        <v>217</v>
      </c>
      <c r="H381" s="371" t="s">
        <v>774</v>
      </c>
      <c r="I381" s="371">
        <v>0</v>
      </c>
      <c r="J381" s="371" t="s">
        <v>313</v>
      </c>
      <c r="K381" s="373" t="str">
        <f>IF(O381="Zauberspruch",L381,O381)</f>
        <v>Formen</v>
      </c>
      <c r="L381" s="373" t="s">
        <v>148</v>
      </c>
      <c r="M381" s="374" t="s">
        <v>329</v>
      </c>
      <c r="N381" s="374" t="s">
        <v>319</v>
      </c>
      <c r="O381" s="373" t="s">
        <v>166</v>
      </c>
      <c r="P381" s="368" t="s">
        <v>75</v>
      </c>
      <c r="Q381" s="367" t="s">
        <v>748</v>
      </c>
      <c r="R381" s="367">
        <v>107</v>
      </c>
    </row>
    <row r="382" spans="1:18" ht="20.100000000000001" customHeight="1" x14ac:dyDescent="0.2">
      <c r="A382" s="377" t="s">
        <v>1553</v>
      </c>
      <c r="B382" s="371" t="s">
        <v>219</v>
      </c>
      <c r="C382" s="371">
        <v>1</v>
      </c>
      <c r="D382" s="372">
        <v>2</v>
      </c>
      <c r="E382" s="371" t="s">
        <v>304</v>
      </c>
      <c r="F382" s="371" t="s">
        <v>25</v>
      </c>
      <c r="G382" s="371" t="s">
        <v>217</v>
      </c>
      <c r="H382" s="371" t="s">
        <v>774</v>
      </c>
      <c r="I382" s="371">
        <v>0</v>
      </c>
      <c r="J382" s="371" t="s">
        <v>313</v>
      </c>
      <c r="K382" s="373" t="str">
        <f>IF(O382="Zauberspruch",L382,O382)</f>
        <v>Zaubersiegel</v>
      </c>
      <c r="L382" s="373" t="s">
        <v>148</v>
      </c>
      <c r="M382" s="374" t="s">
        <v>329</v>
      </c>
      <c r="N382" s="374" t="s">
        <v>319</v>
      </c>
      <c r="O382" s="404" t="s">
        <v>1322</v>
      </c>
      <c r="P382" s="368" t="s">
        <v>1500</v>
      </c>
      <c r="Q382" s="367" t="s">
        <v>1321</v>
      </c>
      <c r="R382" s="367">
        <v>59</v>
      </c>
    </row>
    <row r="383" spans="1:18" ht="20.100000000000001" customHeight="1" x14ac:dyDescent="0.2">
      <c r="A383" s="377" t="s">
        <v>594</v>
      </c>
      <c r="B383" s="371" t="s">
        <v>220</v>
      </c>
      <c r="C383" s="371">
        <v>8</v>
      </c>
      <c r="D383" s="387">
        <v>5</v>
      </c>
      <c r="E383" s="371" t="s">
        <v>354</v>
      </c>
      <c r="F383" s="371" t="s">
        <v>25</v>
      </c>
      <c r="G383" s="371" t="s">
        <v>216</v>
      </c>
      <c r="H383" s="371" t="s">
        <v>791</v>
      </c>
      <c r="I383" s="371" t="s">
        <v>318</v>
      </c>
      <c r="J383" s="388" t="s">
        <v>300</v>
      </c>
      <c r="K383" s="373" t="str">
        <f>IF(O383="Zauberspruch",L383,O383)</f>
        <v>Wundertat</v>
      </c>
      <c r="L383" s="376" t="s">
        <v>138</v>
      </c>
      <c r="M383" s="376" t="s">
        <v>314</v>
      </c>
      <c r="N383" s="376" t="s">
        <v>302</v>
      </c>
      <c r="O383" s="376" t="s">
        <v>1183</v>
      </c>
      <c r="P383" s="389" t="s">
        <v>75</v>
      </c>
      <c r="Q383" s="367" t="s">
        <v>748</v>
      </c>
      <c r="R383" s="367">
        <v>145</v>
      </c>
    </row>
    <row r="384" spans="1:18" ht="20.100000000000001" customHeight="1" x14ac:dyDescent="0.2">
      <c r="A384" s="377" t="s">
        <v>1458</v>
      </c>
      <c r="B384" s="371" t="s">
        <v>218</v>
      </c>
      <c r="C384" s="371">
        <v>2</v>
      </c>
      <c r="D384" s="372">
        <v>1</v>
      </c>
      <c r="E384" s="371" t="s">
        <v>304</v>
      </c>
      <c r="F384" s="371" t="s">
        <v>472</v>
      </c>
      <c r="G384" s="371" t="s">
        <v>217</v>
      </c>
      <c r="H384" s="371" t="s">
        <v>774</v>
      </c>
      <c r="I384" s="371" t="s">
        <v>306</v>
      </c>
      <c r="J384" s="371" t="s">
        <v>313</v>
      </c>
      <c r="K384" s="373" t="str">
        <f>IF(O384="Zauberspruch",L384,O384)</f>
        <v>Zaubersalz</v>
      </c>
      <c r="L384" s="373" t="s">
        <v>148</v>
      </c>
      <c r="M384" s="374" t="s">
        <v>329</v>
      </c>
      <c r="N384" s="374" t="s">
        <v>319</v>
      </c>
      <c r="O384" s="404" t="s">
        <v>1439</v>
      </c>
      <c r="P384" s="368" t="s">
        <v>1706</v>
      </c>
      <c r="Q384" s="367" t="s">
        <v>1321</v>
      </c>
      <c r="R384" s="367">
        <v>48</v>
      </c>
    </row>
    <row r="385" spans="1:18" ht="20.100000000000001" customHeight="1" x14ac:dyDescent="0.2">
      <c r="A385" s="377" t="s">
        <v>595</v>
      </c>
      <c r="B385" s="371" t="s">
        <v>220</v>
      </c>
      <c r="C385" s="371">
        <v>3</v>
      </c>
      <c r="D385" s="372">
        <v>2</v>
      </c>
      <c r="E385" s="371" t="s">
        <v>311</v>
      </c>
      <c r="F385" s="371" t="s">
        <v>321</v>
      </c>
      <c r="G385" s="371" t="s">
        <v>215</v>
      </c>
      <c r="H385" s="371" t="s">
        <v>791</v>
      </c>
      <c r="I385" s="371" t="s">
        <v>306</v>
      </c>
      <c r="J385" s="371" t="s">
        <v>328</v>
      </c>
      <c r="K385" s="373" t="str">
        <f>IF(O385="Zauberspruch",L385,O385)</f>
        <v>Erkennen</v>
      </c>
      <c r="L385" s="373" t="s">
        <v>143</v>
      </c>
      <c r="M385" s="374" t="s">
        <v>322</v>
      </c>
      <c r="N385" s="374" t="s">
        <v>314</v>
      </c>
      <c r="O385" s="373" t="s">
        <v>166</v>
      </c>
      <c r="P385" s="368" t="s">
        <v>596</v>
      </c>
      <c r="Q385" s="367" t="s">
        <v>748</v>
      </c>
      <c r="R385" s="367">
        <v>107</v>
      </c>
    </row>
    <row r="386" spans="1:18" ht="20.100000000000001" customHeight="1" x14ac:dyDescent="0.2">
      <c r="A386" s="377" t="s">
        <v>597</v>
      </c>
      <c r="B386" s="371" t="s">
        <v>218</v>
      </c>
      <c r="C386" s="371">
        <v>1</v>
      </c>
      <c r="D386" s="372">
        <v>1</v>
      </c>
      <c r="E386" s="371" t="s">
        <v>347</v>
      </c>
      <c r="F386" s="371" t="s">
        <v>25</v>
      </c>
      <c r="G386" s="371" t="s">
        <v>216</v>
      </c>
      <c r="H386" s="371" t="s">
        <v>770</v>
      </c>
      <c r="I386" s="371" t="s">
        <v>306</v>
      </c>
      <c r="J386" s="371" t="s">
        <v>313</v>
      </c>
      <c r="K386" s="373" t="str">
        <f>IF(O386="Zauberspruch",L386,O386)</f>
        <v>Verändern</v>
      </c>
      <c r="L386" s="373" t="s">
        <v>138</v>
      </c>
      <c r="M386" s="374" t="s">
        <v>322</v>
      </c>
      <c r="N386" s="374" t="s">
        <v>308</v>
      </c>
      <c r="O386" s="373" t="s">
        <v>166</v>
      </c>
      <c r="P386" s="368" t="s">
        <v>75</v>
      </c>
      <c r="Q386" s="367" t="s">
        <v>748</v>
      </c>
      <c r="R386" s="367">
        <v>108</v>
      </c>
    </row>
    <row r="387" spans="1:18" ht="20.100000000000001" customHeight="1" x14ac:dyDescent="0.2">
      <c r="A387" s="377" t="s">
        <v>598</v>
      </c>
      <c r="B387" s="371" t="s">
        <v>220</v>
      </c>
      <c r="C387" s="371">
        <v>1</v>
      </c>
      <c r="D387" s="372">
        <v>1</v>
      </c>
      <c r="E387" s="371" t="s">
        <v>304</v>
      </c>
      <c r="F387" s="371" t="s">
        <v>332</v>
      </c>
      <c r="G387" s="371" t="s">
        <v>217</v>
      </c>
      <c r="H387" s="371" t="s">
        <v>778</v>
      </c>
      <c r="I387" s="371" t="s">
        <v>306</v>
      </c>
      <c r="J387" s="371" t="s">
        <v>313</v>
      </c>
      <c r="K387" s="373" t="str">
        <f>IF(O387="Zauberspruch",L387,O387)</f>
        <v>Formen</v>
      </c>
      <c r="L387" s="373" t="s">
        <v>148</v>
      </c>
      <c r="M387" s="374" t="s">
        <v>329</v>
      </c>
      <c r="N387" s="374" t="s">
        <v>308</v>
      </c>
      <c r="O387" s="373" t="s">
        <v>166</v>
      </c>
      <c r="P387" s="368" t="s">
        <v>75</v>
      </c>
      <c r="Q387" s="367" t="s">
        <v>748</v>
      </c>
      <c r="R387" s="367">
        <v>108</v>
      </c>
    </row>
    <row r="388" spans="1:18" ht="20.100000000000001" customHeight="1" x14ac:dyDescent="0.2">
      <c r="A388" s="377" t="s">
        <v>1556</v>
      </c>
      <c r="B388" s="371" t="s">
        <v>219</v>
      </c>
      <c r="C388" s="371">
        <v>1</v>
      </c>
      <c r="D388" s="372">
        <v>1</v>
      </c>
      <c r="E388" s="371" t="s">
        <v>304</v>
      </c>
      <c r="F388" s="371" t="s">
        <v>332</v>
      </c>
      <c r="G388" s="371" t="s">
        <v>217</v>
      </c>
      <c r="H388" s="371" t="s">
        <v>778</v>
      </c>
      <c r="I388" s="371" t="s">
        <v>306</v>
      </c>
      <c r="J388" s="371" t="s">
        <v>313</v>
      </c>
      <c r="K388" s="373" t="str">
        <f>IF(O388="Zauberspruch",L388,O388)</f>
        <v>Zaubersiegel</v>
      </c>
      <c r="L388" s="373" t="s">
        <v>148</v>
      </c>
      <c r="M388" s="374" t="s">
        <v>329</v>
      </c>
      <c r="N388" s="374" t="s">
        <v>308</v>
      </c>
      <c r="O388" s="404" t="s">
        <v>1322</v>
      </c>
      <c r="P388" s="368" t="s">
        <v>1497</v>
      </c>
      <c r="Q388" s="367" t="s">
        <v>1321</v>
      </c>
      <c r="R388" s="367">
        <v>60</v>
      </c>
    </row>
    <row r="389" spans="1:18" ht="20.100000000000001" customHeight="1" x14ac:dyDescent="0.2">
      <c r="A389" s="377" t="s">
        <v>1487</v>
      </c>
      <c r="B389" s="371" t="s">
        <v>220</v>
      </c>
      <c r="C389" s="371">
        <v>7</v>
      </c>
      <c r="D389" s="372">
        <v>4</v>
      </c>
      <c r="E389" s="371" t="s">
        <v>304</v>
      </c>
      <c r="F389" s="371" t="s">
        <v>332</v>
      </c>
      <c r="G389" s="371" t="s">
        <v>217</v>
      </c>
      <c r="H389" s="371" t="s">
        <v>783</v>
      </c>
      <c r="I389" s="371" t="s">
        <v>306</v>
      </c>
      <c r="J389" s="371" t="s">
        <v>313</v>
      </c>
      <c r="K389" s="373" t="str">
        <f>IF(O389="Zauberspruch",L389,O389)</f>
        <v>Runenstab</v>
      </c>
      <c r="L389" s="373" t="s">
        <v>140</v>
      </c>
      <c r="M389" s="374" t="s">
        <v>329</v>
      </c>
      <c r="N389" s="374" t="s">
        <v>308</v>
      </c>
      <c r="O389" s="404" t="s">
        <v>1472</v>
      </c>
      <c r="P389" s="368" t="s">
        <v>75</v>
      </c>
      <c r="Q389" s="367" t="s">
        <v>1321</v>
      </c>
      <c r="R389" s="367">
        <v>52</v>
      </c>
    </row>
    <row r="390" spans="1:18" ht="20.100000000000001" customHeight="1" x14ac:dyDescent="0.2">
      <c r="A390" s="377" t="s">
        <v>599</v>
      </c>
      <c r="B390" s="371" t="s">
        <v>219</v>
      </c>
      <c r="C390" s="371">
        <v>3</v>
      </c>
      <c r="D390" s="372">
        <v>2</v>
      </c>
      <c r="E390" s="371" t="s">
        <v>311</v>
      </c>
      <c r="F390" s="371" t="s">
        <v>75</v>
      </c>
      <c r="G390" s="371" t="s">
        <v>217</v>
      </c>
      <c r="H390" s="371" t="s">
        <v>791</v>
      </c>
      <c r="I390" s="371" t="s">
        <v>306</v>
      </c>
      <c r="J390" s="371" t="s">
        <v>313</v>
      </c>
      <c r="K390" s="373" t="str">
        <f>IF(O390="Zauberspruch",L390,O390)</f>
        <v>Formen</v>
      </c>
      <c r="L390" s="373" t="s">
        <v>148</v>
      </c>
      <c r="M390" s="374" t="s">
        <v>322</v>
      </c>
      <c r="N390" s="374" t="s">
        <v>308</v>
      </c>
      <c r="O390" s="373" t="s">
        <v>166</v>
      </c>
      <c r="P390" s="368" t="s">
        <v>75</v>
      </c>
      <c r="Q390" s="367" t="s">
        <v>748</v>
      </c>
      <c r="R390" s="367">
        <v>108</v>
      </c>
    </row>
    <row r="391" spans="1:18" ht="20.100000000000001" customHeight="1" x14ac:dyDescent="0.2">
      <c r="A391" s="377" t="s">
        <v>1554</v>
      </c>
      <c r="B391" s="371" t="s">
        <v>219</v>
      </c>
      <c r="C391" s="371">
        <v>3</v>
      </c>
      <c r="D391" s="372">
        <v>2</v>
      </c>
      <c r="E391" s="371" t="s">
        <v>304</v>
      </c>
      <c r="F391" s="371" t="s">
        <v>75</v>
      </c>
      <c r="G391" s="371" t="s">
        <v>217</v>
      </c>
      <c r="H391" s="371" t="s">
        <v>770</v>
      </c>
      <c r="I391" s="371" t="s">
        <v>306</v>
      </c>
      <c r="J391" s="371" t="s">
        <v>313</v>
      </c>
      <c r="K391" s="373" t="str">
        <f>IF(O391="Zauberspruch",L391,O391)</f>
        <v>Zaubersiegel</v>
      </c>
      <c r="L391" s="373" t="s">
        <v>148</v>
      </c>
      <c r="M391" s="374" t="s">
        <v>322</v>
      </c>
      <c r="N391" s="374" t="s">
        <v>308</v>
      </c>
      <c r="O391" s="404" t="s">
        <v>1322</v>
      </c>
      <c r="P391" s="368" t="s">
        <v>1555</v>
      </c>
      <c r="Q391" s="367" t="s">
        <v>1321</v>
      </c>
      <c r="R391" s="367">
        <v>60</v>
      </c>
    </row>
    <row r="392" spans="1:18" ht="20.100000000000001" customHeight="1" x14ac:dyDescent="0.2">
      <c r="A392" s="377" t="s">
        <v>600</v>
      </c>
      <c r="B392" s="371" t="s">
        <v>220</v>
      </c>
      <c r="C392" s="371">
        <v>7</v>
      </c>
      <c r="D392" s="372">
        <v>4</v>
      </c>
      <c r="E392" s="371" t="s">
        <v>354</v>
      </c>
      <c r="F392" s="371" t="s">
        <v>332</v>
      </c>
      <c r="G392" s="371" t="s">
        <v>217</v>
      </c>
      <c r="H392" s="371" t="s">
        <v>781</v>
      </c>
      <c r="I392" s="371" t="s">
        <v>299</v>
      </c>
      <c r="J392" s="371" t="s">
        <v>313</v>
      </c>
      <c r="K392" s="373" t="str">
        <f>IF(O392="Zauberspruch",L392,O392)</f>
        <v>Bewegen</v>
      </c>
      <c r="L392" s="373" t="s">
        <v>140</v>
      </c>
      <c r="M392" s="374" t="s">
        <v>329</v>
      </c>
      <c r="N392" s="374" t="s">
        <v>308</v>
      </c>
      <c r="O392" s="373" t="s">
        <v>166</v>
      </c>
      <c r="P392" s="368" t="s">
        <v>75</v>
      </c>
      <c r="Q392" s="367" t="s">
        <v>748</v>
      </c>
      <c r="R392" s="367">
        <v>108</v>
      </c>
    </row>
    <row r="393" spans="1:18" ht="20.100000000000001" customHeight="1" x14ac:dyDescent="0.2">
      <c r="A393" s="377" t="s">
        <v>1629</v>
      </c>
      <c r="B393" s="371" t="s">
        <v>220</v>
      </c>
      <c r="C393" s="371">
        <v>4</v>
      </c>
      <c r="D393" s="372">
        <v>2</v>
      </c>
      <c r="E393" s="371" t="s">
        <v>306</v>
      </c>
      <c r="F393" s="371" t="s">
        <v>75</v>
      </c>
      <c r="G393" s="371" t="s">
        <v>217</v>
      </c>
      <c r="H393" s="371" t="s">
        <v>774</v>
      </c>
      <c r="I393" s="371" t="s">
        <v>493</v>
      </c>
      <c r="J393" s="371" t="s">
        <v>300</v>
      </c>
      <c r="K393" s="373" t="str">
        <f>IF(O393="Zauberspruch",L393,O393)</f>
        <v>Zauberrune</v>
      </c>
      <c r="L393" s="373" t="s">
        <v>138</v>
      </c>
      <c r="M393" s="374" t="s">
        <v>322</v>
      </c>
      <c r="N393" s="374" t="s">
        <v>301</v>
      </c>
      <c r="O393" s="404" t="s">
        <v>1601</v>
      </c>
      <c r="P393" s="368" t="s">
        <v>1732</v>
      </c>
      <c r="Q393" s="367" t="s">
        <v>1321</v>
      </c>
      <c r="R393" s="367">
        <v>76</v>
      </c>
    </row>
    <row r="394" spans="1:18" ht="20.100000000000001" customHeight="1" x14ac:dyDescent="0.2">
      <c r="A394" s="377" t="s">
        <v>601</v>
      </c>
      <c r="B394" s="371" t="s">
        <v>220</v>
      </c>
      <c r="C394" s="371">
        <v>8</v>
      </c>
      <c r="D394" s="371">
        <v>6</v>
      </c>
      <c r="E394" s="371" t="s">
        <v>311</v>
      </c>
      <c r="F394" s="371" t="s">
        <v>75</v>
      </c>
      <c r="G394" s="371" t="s">
        <v>216</v>
      </c>
      <c r="H394" s="371" t="s">
        <v>791</v>
      </c>
      <c r="I394" s="371" t="s">
        <v>347</v>
      </c>
      <c r="J394" s="371" t="s">
        <v>307</v>
      </c>
      <c r="K394" s="373" t="str">
        <f>IF(O394="Zauberspruch",L394,O394)</f>
        <v>Dweomer</v>
      </c>
      <c r="L394" s="373" t="s">
        <v>138</v>
      </c>
      <c r="M394" s="373" t="s">
        <v>301</v>
      </c>
      <c r="N394" s="373" t="s">
        <v>302</v>
      </c>
      <c r="O394" s="376" t="s">
        <v>146</v>
      </c>
      <c r="P394" s="394" t="s">
        <v>75</v>
      </c>
      <c r="Q394" s="367" t="s">
        <v>748</v>
      </c>
      <c r="R394" s="367">
        <v>157</v>
      </c>
    </row>
    <row r="395" spans="1:18" ht="20.100000000000001" customHeight="1" x14ac:dyDescent="0.2">
      <c r="A395" s="377" t="s">
        <v>602</v>
      </c>
      <c r="B395" s="371" t="s">
        <v>220</v>
      </c>
      <c r="C395" s="371">
        <v>5</v>
      </c>
      <c r="D395" s="372" t="s">
        <v>762</v>
      </c>
      <c r="E395" s="371" t="s">
        <v>311</v>
      </c>
      <c r="F395" s="371" t="s">
        <v>305</v>
      </c>
      <c r="G395" s="371" t="s">
        <v>216</v>
      </c>
      <c r="H395" s="371" t="s">
        <v>798</v>
      </c>
      <c r="I395" s="371" t="s">
        <v>338</v>
      </c>
      <c r="J395" s="371" t="s">
        <v>313</v>
      </c>
      <c r="K395" s="373" t="str">
        <f>IF(O395="Zauberspruch",L395,O395)</f>
        <v>Beherrschen</v>
      </c>
      <c r="L395" s="373" t="s">
        <v>137</v>
      </c>
      <c r="M395" s="374" t="s">
        <v>322</v>
      </c>
      <c r="N395" s="374" t="s">
        <v>309</v>
      </c>
      <c r="O395" s="373" t="s">
        <v>166</v>
      </c>
      <c r="P395" s="368" t="s">
        <v>603</v>
      </c>
      <c r="Q395" s="367" t="s">
        <v>748</v>
      </c>
      <c r="R395" s="367">
        <v>109</v>
      </c>
    </row>
    <row r="396" spans="1:18" ht="20.100000000000001" customHeight="1" x14ac:dyDescent="0.2">
      <c r="A396" s="377" t="s">
        <v>1459</v>
      </c>
      <c r="B396" s="371" t="s">
        <v>218</v>
      </c>
      <c r="C396" s="371">
        <v>2</v>
      </c>
      <c r="D396" s="372">
        <v>1</v>
      </c>
      <c r="E396" s="371" t="s">
        <v>304</v>
      </c>
      <c r="F396" s="371" t="s">
        <v>472</v>
      </c>
      <c r="G396" s="371" t="s">
        <v>216</v>
      </c>
      <c r="H396" s="371" t="s">
        <v>770</v>
      </c>
      <c r="I396" s="371" t="s">
        <v>493</v>
      </c>
      <c r="J396" s="371" t="s">
        <v>313</v>
      </c>
      <c r="K396" s="373" t="str">
        <f>IF(O396="Zauberspruch",L396,O396)</f>
        <v>Zaubersalz</v>
      </c>
      <c r="L396" s="373" t="s">
        <v>137</v>
      </c>
      <c r="M396" s="374" t="s">
        <v>322</v>
      </c>
      <c r="N396" s="374" t="s">
        <v>309</v>
      </c>
      <c r="O396" s="404" t="s">
        <v>1439</v>
      </c>
      <c r="P396" s="368" t="s">
        <v>1706</v>
      </c>
      <c r="Q396" s="367" t="s">
        <v>1321</v>
      </c>
      <c r="R396" s="367">
        <v>49</v>
      </c>
    </row>
    <row r="397" spans="1:18" ht="20.100000000000001" customHeight="1" x14ac:dyDescent="0.2">
      <c r="A397" s="377" t="s">
        <v>604</v>
      </c>
      <c r="B397" s="371" t="s">
        <v>219</v>
      </c>
      <c r="C397" s="371">
        <v>7</v>
      </c>
      <c r="D397" s="372">
        <v>4</v>
      </c>
      <c r="E397" s="371" t="s">
        <v>311</v>
      </c>
      <c r="F397" s="371" t="s">
        <v>25</v>
      </c>
      <c r="G397" s="371" t="s">
        <v>216</v>
      </c>
      <c r="H397" s="371" t="s">
        <v>770</v>
      </c>
      <c r="I397" s="371" t="s">
        <v>318</v>
      </c>
      <c r="J397" s="371" t="s">
        <v>313</v>
      </c>
      <c r="K397" s="373" t="str">
        <f>IF(O397="Zauberspruch",L397,O397)</f>
        <v>Verändern</v>
      </c>
      <c r="L397" s="373" t="s">
        <v>138</v>
      </c>
      <c r="M397" s="374" t="s">
        <v>329</v>
      </c>
      <c r="N397" s="374" t="s">
        <v>301</v>
      </c>
      <c r="O397" s="373" t="s">
        <v>166</v>
      </c>
      <c r="P397" s="368" t="s">
        <v>605</v>
      </c>
      <c r="Q397" s="367" t="s">
        <v>748</v>
      </c>
      <c r="R397" s="367">
        <v>109</v>
      </c>
    </row>
    <row r="398" spans="1:18" ht="20.100000000000001" customHeight="1" x14ac:dyDescent="0.2">
      <c r="A398" s="377" t="s">
        <v>1460</v>
      </c>
      <c r="B398" s="371" t="s">
        <v>218</v>
      </c>
      <c r="C398" s="371">
        <v>1</v>
      </c>
      <c r="D398" s="372">
        <v>1</v>
      </c>
      <c r="E398" s="371" t="s">
        <v>304</v>
      </c>
      <c r="F398" s="371" t="s">
        <v>472</v>
      </c>
      <c r="G398" s="371" t="s">
        <v>217</v>
      </c>
      <c r="H398" s="371" t="s">
        <v>1461</v>
      </c>
      <c r="I398" s="371" t="s">
        <v>338</v>
      </c>
      <c r="J398" s="371" t="s">
        <v>313</v>
      </c>
      <c r="K398" s="373" t="str">
        <f>IF(O398="Zauberspruch",L398,O398)</f>
        <v>Zaubersalz</v>
      </c>
      <c r="L398" s="373" t="s">
        <v>148</v>
      </c>
      <c r="M398" s="374" t="s">
        <v>322</v>
      </c>
      <c r="N398" s="374" t="s">
        <v>314</v>
      </c>
      <c r="O398" s="404" t="s">
        <v>1439</v>
      </c>
      <c r="P398" s="368" t="s">
        <v>1706</v>
      </c>
      <c r="Q398" s="367" t="s">
        <v>1321</v>
      </c>
      <c r="R398" s="367">
        <v>49</v>
      </c>
    </row>
    <row r="399" spans="1:18" ht="20.100000000000001" customHeight="1" x14ac:dyDescent="0.2">
      <c r="A399" s="377" t="s">
        <v>1557</v>
      </c>
      <c r="B399" s="371" t="s">
        <v>219</v>
      </c>
      <c r="C399" s="371">
        <v>8</v>
      </c>
      <c r="D399" s="372">
        <v>6</v>
      </c>
      <c r="E399" s="371" t="s">
        <v>304</v>
      </c>
      <c r="F399" s="371" t="s">
        <v>332</v>
      </c>
      <c r="G399" s="371" t="s">
        <v>217</v>
      </c>
      <c r="H399" s="371" t="s">
        <v>780</v>
      </c>
      <c r="I399" s="371" t="s">
        <v>338</v>
      </c>
      <c r="J399" s="371" t="s">
        <v>313</v>
      </c>
      <c r="K399" s="373" t="str">
        <f>IF(O399="Zauberspruch",L399,O399)</f>
        <v>Zaubersiegel</v>
      </c>
      <c r="L399" s="373" t="s">
        <v>141</v>
      </c>
      <c r="M399" s="374" t="s">
        <v>322</v>
      </c>
      <c r="N399" s="374" t="s">
        <v>322</v>
      </c>
      <c r="O399" s="404" t="s">
        <v>1322</v>
      </c>
      <c r="P399" s="368" t="s">
        <v>1506</v>
      </c>
      <c r="Q399" s="367" t="s">
        <v>1321</v>
      </c>
      <c r="R399" s="367">
        <v>60</v>
      </c>
    </row>
    <row r="400" spans="1:18" ht="20.100000000000001" customHeight="1" x14ac:dyDescent="0.2">
      <c r="A400" s="377" t="s">
        <v>606</v>
      </c>
      <c r="B400" s="371" t="s">
        <v>220</v>
      </c>
      <c r="C400" s="371">
        <v>1</v>
      </c>
      <c r="D400" s="372" t="s">
        <v>749</v>
      </c>
      <c r="E400" s="371" t="s">
        <v>311</v>
      </c>
      <c r="F400" s="371" t="s">
        <v>305</v>
      </c>
      <c r="G400" s="371" t="s">
        <v>216</v>
      </c>
      <c r="H400" s="371" t="s">
        <v>798</v>
      </c>
      <c r="I400" s="371" t="s">
        <v>299</v>
      </c>
      <c r="J400" s="371" t="s">
        <v>313</v>
      </c>
      <c r="K400" s="373" t="str">
        <f>IF(O400="Zauberspruch",L400,O400)</f>
        <v>Beherrschen</v>
      </c>
      <c r="L400" s="373" t="s">
        <v>137</v>
      </c>
      <c r="M400" s="374" t="s">
        <v>322</v>
      </c>
      <c r="N400" s="374" t="s">
        <v>309</v>
      </c>
      <c r="O400" s="373" t="s">
        <v>166</v>
      </c>
      <c r="P400" s="368" t="s">
        <v>607</v>
      </c>
      <c r="Q400" s="367" t="s">
        <v>748</v>
      </c>
      <c r="R400" s="367">
        <v>109</v>
      </c>
    </row>
    <row r="401" spans="1:18" ht="20.100000000000001" customHeight="1" x14ac:dyDescent="0.2">
      <c r="A401" s="377" t="s">
        <v>608</v>
      </c>
      <c r="B401" s="371" t="s">
        <v>220</v>
      </c>
      <c r="C401" s="371">
        <v>4</v>
      </c>
      <c r="D401" s="372">
        <v>2</v>
      </c>
      <c r="E401" s="371" t="s">
        <v>311</v>
      </c>
      <c r="F401" s="371" t="s">
        <v>305</v>
      </c>
      <c r="G401" s="371" t="s">
        <v>216</v>
      </c>
      <c r="H401" s="371" t="s">
        <v>770</v>
      </c>
      <c r="I401" s="371" t="s">
        <v>347</v>
      </c>
      <c r="J401" s="371" t="s">
        <v>313</v>
      </c>
      <c r="K401" s="373" t="str">
        <f>IF(O401="Zauberspruch",L401,O401)</f>
        <v>Zerstören</v>
      </c>
      <c r="L401" s="373" t="s">
        <v>141</v>
      </c>
      <c r="M401" s="374" t="s">
        <v>322</v>
      </c>
      <c r="N401" s="374" t="s">
        <v>308</v>
      </c>
      <c r="O401" s="373" t="s">
        <v>166</v>
      </c>
      <c r="P401" s="368" t="s">
        <v>609</v>
      </c>
      <c r="Q401" s="367" t="s">
        <v>748</v>
      </c>
      <c r="R401" s="367">
        <v>109</v>
      </c>
    </row>
    <row r="402" spans="1:18" ht="20.100000000000001" customHeight="1" x14ac:dyDescent="0.2">
      <c r="A402" s="377" t="s">
        <v>1630</v>
      </c>
      <c r="B402" s="371" t="s">
        <v>220</v>
      </c>
      <c r="C402" s="371">
        <v>4</v>
      </c>
      <c r="D402" s="372">
        <v>2</v>
      </c>
      <c r="E402" s="371" t="s">
        <v>299</v>
      </c>
      <c r="F402" s="371" t="s">
        <v>75</v>
      </c>
      <c r="G402" s="371" t="s">
        <v>217</v>
      </c>
      <c r="H402" s="371" t="s">
        <v>770</v>
      </c>
      <c r="I402" s="371" t="s">
        <v>493</v>
      </c>
      <c r="J402" s="371" t="s">
        <v>300</v>
      </c>
      <c r="K402" s="373" t="str">
        <f>IF(O402="Zauberspruch",L402,O402)</f>
        <v>Zauberrune</v>
      </c>
      <c r="L402" s="373" t="s">
        <v>138</v>
      </c>
      <c r="M402" s="374" t="s">
        <v>322</v>
      </c>
      <c r="N402" s="374" t="s">
        <v>319</v>
      </c>
      <c r="O402" s="404" t="s">
        <v>1601</v>
      </c>
      <c r="P402" s="368" t="s">
        <v>1733</v>
      </c>
      <c r="Q402" s="367" t="s">
        <v>1321</v>
      </c>
      <c r="R402" s="367">
        <v>77</v>
      </c>
    </row>
    <row r="403" spans="1:18" ht="20.100000000000001" customHeight="1" x14ac:dyDescent="0.2">
      <c r="A403" s="377" t="s">
        <v>610</v>
      </c>
      <c r="B403" s="371" t="s">
        <v>220</v>
      </c>
      <c r="C403" s="371">
        <v>6</v>
      </c>
      <c r="D403" s="371">
        <v>4</v>
      </c>
      <c r="E403" s="371" t="s">
        <v>306</v>
      </c>
      <c r="F403" s="371" t="s">
        <v>25</v>
      </c>
      <c r="G403" s="371" t="s">
        <v>216</v>
      </c>
      <c r="H403" s="371" t="s">
        <v>770</v>
      </c>
      <c r="I403" s="371">
        <v>0</v>
      </c>
      <c r="J403" s="371" t="s">
        <v>307</v>
      </c>
      <c r="K403" s="373" t="str">
        <f>IF(O403="Zauberspruch",L403,O403)</f>
        <v>Dweomer</v>
      </c>
      <c r="L403" s="373" t="s">
        <v>145</v>
      </c>
      <c r="M403" s="373" t="s">
        <v>301</v>
      </c>
      <c r="N403" s="373" t="s">
        <v>302</v>
      </c>
      <c r="O403" s="376" t="s">
        <v>146</v>
      </c>
      <c r="P403" s="394" t="s">
        <v>75</v>
      </c>
      <c r="Q403" s="367" t="s">
        <v>748</v>
      </c>
      <c r="R403" s="367">
        <v>157</v>
      </c>
    </row>
    <row r="404" spans="1:18" ht="20.100000000000001" customHeight="1" x14ac:dyDescent="0.2">
      <c r="A404" s="377" t="s">
        <v>1631</v>
      </c>
      <c r="B404" s="371" t="s">
        <v>220</v>
      </c>
      <c r="C404" s="371">
        <v>5</v>
      </c>
      <c r="D404" s="372">
        <v>3</v>
      </c>
      <c r="E404" s="371" t="s">
        <v>299</v>
      </c>
      <c r="F404" s="371" t="s">
        <v>75</v>
      </c>
      <c r="G404" s="371" t="s">
        <v>216</v>
      </c>
      <c r="H404" s="371" t="s">
        <v>770</v>
      </c>
      <c r="I404" s="371" t="s">
        <v>316</v>
      </c>
      <c r="J404" s="371" t="s">
        <v>300</v>
      </c>
      <c r="K404" s="373" t="str">
        <f>IF(O404="Zauberspruch",L404,O404)</f>
        <v>Zauberrune</v>
      </c>
      <c r="L404" s="373" t="s">
        <v>138</v>
      </c>
      <c r="M404" s="374" t="s">
        <v>314</v>
      </c>
      <c r="N404" s="374" t="s">
        <v>302</v>
      </c>
      <c r="O404" s="404" t="s">
        <v>1601</v>
      </c>
      <c r="P404" s="368" t="s">
        <v>1734</v>
      </c>
      <c r="Q404" s="367" t="s">
        <v>1321</v>
      </c>
      <c r="R404" s="367">
        <v>77</v>
      </c>
    </row>
    <row r="405" spans="1:18" ht="20.100000000000001" customHeight="1" x14ac:dyDescent="0.2">
      <c r="A405" s="377" t="s">
        <v>611</v>
      </c>
      <c r="B405" s="371" t="s">
        <v>220</v>
      </c>
      <c r="C405" s="371">
        <v>6</v>
      </c>
      <c r="D405" s="372">
        <v>6</v>
      </c>
      <c r="E405" s="371" t="s">
        <v>354</v>
      </c>
      <c r="F405" s="371" t="s">
        <v>25</v>
      </c>
      <c r="G405" s="371" t="s">
        <v>216</v>
      </c>
      <c r="H405" s="371" t="s">
        <v>770</v>
      </c>
      <c r="I405" s="371" t="s">
        <v>306</v>
      </c>
      <c r="J405" s="371" t="s">
        <v>313</v>
      </c>
      <c r="K405" s="373" t="str">
        <f>IF(O405="Zauberspruch",L405,O405)</f>
        <v>Verändern</v>
      </c>
      <c r="L405" s="373" t="s">
        <v>138</v>
      </c>
      <c r="M405" s="374" t="s">
        <v>301</v>
      </c>
      <c r="N405" s="374" t="s">
        <v>302</v>
      </c>
      <c r="O405" s="373" t="s">
        <v>166</v>
      </c>
      <c r="P405" s="368" t="s">
        <v>75</v>
      </c>
      <c r="Q405" s="367" t="s">
        <v>748</v>
      </c>
      <c r="R405" s="367">
        <v>110</v>
      </c>
    </row>
    <row r="406" spans="1:18" ht="20.100000000000001" customHeight="1" x14ac:dyDescent="0.2">
      <c r="A406" s="377" t="s">
        <v>1558</v>
      </c>
      <c r="B406" s="371" t="s">
        <v>219</v>
      </c>
      <c r="C406" s="371">
        <v>6</v>
      </c>
      <c r="D406" s="372">
        <v>6</v>
      </c>
      <c r="E406" s="371" t="s">
        <v>304</v>
      </c>
      <c r="F406" s="371" t="s">
        <v>25</v>
      </c>
      <c r="G406" s="371" t="s">
        <v>216</v>
      </c>
      <c r="H406" s="371" t="s">
        <v>770</v>
      </c>
      <c r="I406" s="371" t="s">
        <v>306</v>
      </c>
      <c r="J406" s="371" t="s">
        <v>313</v>
      </c>
      <c r="K406" s="373" t="str">
        <f>IF(O406="Zauberspruch",L406,O406)</f>
        <v>Zaubersiegel</v>
      </c>
      <c r="L406" s="373" t="s">
        <v>138</v>
      </c>
      <c r="M406" s="374" t="s">
        <v>301</v>
      </c>
      <c r="N406" s="374" t="s">
        <v>302</v>
      </c>
      <c r="O406" s="404" t="s">
        <v>1322</v>
      </c>
      <c r="P406" s="368" t="s">
        <v>1512</v>
      </c>
      <c r="Q406" s="367" t="s">
        <v>1321</v>
      </c>
      <c r="R406" s="367">
        <v>60</v>
      </c>
    </row>
    <row r="407" spans="1:18" ht="20.100000000000001" customHeight="1" x14ac:dyDescent="0.2">
      <c r="A407" s="377" t="s">
        <v>1632</v>
      </c>
      <c r="B407" s="371" t="s">
        <v>220</v>
      </c>
      <c r="C407" s="371">
        <v>5</v>
      </c>
      <c r="D407" s="372">
        <v>3</v>
      </c>
      <c r="E407" s="371" t="s">
        <v>299</v>
      </c>
      <c r="F407" s="371" t="s">
        <v>75</v>
      </c>
      <c r="G407" s="371" t="s">
        <v>215</v>
      </c>
      <c r="H407" s="371" t="s">
        <v>770</v>
      </c>
      <c r="I407" s="371" t="s">
        <v>369</v>
      </c>
      <c r="J407" s="371" t="s">
        <v>300</v>
      </c>
      <c r="K407" s="373" t="str">
        <f>IF(O407="Zauberspruch",L407,O407)</f>
        <v>Zauberrune</v>
      </c>
      <c r="L407" s="373" t="s">
        <v>137</v>
      </c>
      <c r="M407" s="374" t="s">
        <v>319</v>
      </c>
      <c r="N407" s="374" t="s">
        <v>314</v>
      </c>
      <c r="O407" s="404" t="s">
        <v>1601</v>
      </c>
      <c r="P407" s="368" t="s">
        <v>1735</v>
      </c>
      <c r="Q407" s="367" t="s">
        <v>1321</v>
      </c>
      <c r="R407" s="367">
        <v>77</v>
      </c>
    </row>
    <row r="408" spans="1:18" ht="20.100000000000001" customHeight="1" x14ac:dyDescent="0.2">
      <c r="A408" s="377" t="s">
        <v>612</v>
      </c>
      <c r="B408" s="371" t="s">
        <v>219</v>
      </c>
      <c r="C408" s="371">
        <v>2</v>
      </c>
      <c r="D408" s="387" t="s">
        <v>763</v>
      </c>
      <c r="E408" s="371" t="s">
        <v>311</v>
      </c>
      <c r="F408" s="371" t="s">
        <v>75</v>
      </c>
      <c r="G408" s="371" t="s">
        <v>216</v>
      </c>
      <c r="H408" s="371" t="s">
        <v>791</v>
      </c>
      <c r="I408" s="371" t="s">
        <v>613</v>
      </c>
      <c r="J408" s="388" t="s">
        <v>300</v>
      </c>
      <c r="K408" s="373" t="str">
        <f>IF(O408="Zauberspruch",L408,O408)</f>
        <v>Wundertat</v>
      </c>
      <c r="L408" s="376" t="s">
        <v>145</v>
      </c>
      <c r="M408" s="376" t="s">
        <v>308</v>
      </c>
      <c r="N408" s="376" t="s">
        <v>301</v>
      </c>
      <c r="O408" s="376" t="s">
        <v>1183</v>
      </c>
      <c r="P408" s="389" t="s">
        <v>75</v>
      </c>
      <c r="Q408" s="367" t="s">
        <v>748</v>
      </c>
      <c r="R408" s="367">
        <v>146</v>
      </c>
    </row>
    <row r="409" spans="1:18" ht="20.100000000000001" customHeight="1" x14ac:dyDescent="0.2">
      <c r="A409" s="377" t="s">
        <v>614</v>
      </c>
      <c r="B409" s="371" t="s">
        <v>220</v>
      </c>
      <c r="C409" s="371">
        <v>5</v>
      </c>
      <c r="D409" s="371">
        <v>3</v>
      </c>
      <c r="E409" s="371" t="s">
        <v>311</v>
      </c>
      <c r="F409" s="371" t="s">
        <v>75</v>
      </c>
      <c r="G409" s="371" t="s">
        <v>217</v>
      </c>
      <c r="H409" s="371" t="s">
        <v>791</v>
      </c>
      <c r="I409" s="371" t="s">
        <v>802</v>
      </c>
      <c r="J409" s="371" t="s">
        <v>307</v>
      </c>
      <c r="K409" s="373" t="str">
        <f>IF(O409="Zauberspruch",L409,O409)</f>
        <v>Dweomer</v>
      </c>
      <c r="L409" s="373" t="s">
        <v>140</v>
      </c>
      <c r="M409" s="373" t="s">
        <v>314</v>
      </c>
      <c r="N409" s="373" t="s">
        <v>302</v>
      </c>
      <c r="O409" s="376" t="s">
        <v>146</v>
      </c>
      <c r="P409" s="394" t="s">
        <v>75</v>
      </c>
      <c r="Q409" s="367" t="s">
        <v>748</v>
      </c>
      <c r="R409" s="367">
        <v>159</v>
      </c>
    </row>
    <row r="410" spans="1:18" ht="20.100000000000001" customHeight="1" x14ac:dyDescent="0.2">
      <c r="A410" s="377" t="s">
        <v>615</v>
      </c>
      <c r="B410" s="371" t="s">
        <v>449</v>
      </c>
      <c r="C410" s="371">
        <v>5</v>
      </c>
      <c r="D410" s="372">
        <v>2</v>
      </c>
      <c r="E410" s="371" t="s">
        <v>304</v>
      </c>
      <c r="F410" s="371" t="s">
        <v>75</v>
      </c>
      <c r="G410" s="371" t="s">
        <v>216</v>
      </c>
      <c r="H410" s="371" t="s">
        <v>791</v>
      </c>
      <c r="I410" s="371">
        <v>0</v>
      </c>
      <c r="J410" s="371" t="s">
        <v>300</v>
      </c>
      <c r="K410" s="373" t="str">
        <f>IF(O410="Zauberspruch",L410,O410)</f>
        <v>Verändern</v>
      </c>
      <c r="L410" s="373" t="s">
        <v>138</v>
      </c>
      <c r="M410" s="374" t="s">
        <v>319</v>
      </c>
      <c r="N410" s="374" t="s">
        <v>302</v>
      </c>
      <c r="O410" s="373" t="s">
        <v>166</v>
      </c>
      <c r="P410" s="368" t="s">
        <v>75</v>
      </c>
      <c r="Q410" s="367" t="s">
        <v>748</v>
      </c>
      <c r="R410" s="367">
        <v>110</v>
      </c>
    </row>
    <row r="411" spans="1:18" ht="20.100000000000001" customHeight="1" x14ac:dyDescent="0.2">
      <c r="A411" s="377" t="s">
        <v>1633</v>
      </c>
      <c r="B411" s="371" t="s">
        <v>220</v>
      </c>
      <c r="C411" s="371">
        <v>6</v>
      </c>
      <c r="D411" s="372">
        <v>3</v>
      </c>
      <c r="E411" s="371" t="s">
        <v>299</v>
      </c>
      <c r="F411" s="371" t="s">
        <v>75</v>
      </c>
      <c r="G411" s="371" t="s">
        <v>215</v>
      </c>
      <c r="H411" s="371" t="s">
        <v>777</v>
      </c>
      <c r="I411" s="371" t="s">
        <v>383</v>
      </c>
      <c r="J411" s="371" t="s">
        <v>300</v>
      </c>
      <c r="K411" s="373" t="str">
        <f>IF(O411="Zauberspruch",L411,O411)</f>
        <v>Zauberrune</v>
      </c>
      <c r="L411" s="373" t="s">
        <v>137</v>
      </c>
      <c r="M411" s="374" t="s">
        <v>314</v>
      </c>
      <c r="N411" s="374" t="s">
        <v>329</v>
      </c>
      <c r="O411" s="404" t="s">
        <v>1601</v>
      </c>
      <c r="P411" s="368" t="s">
        <v>1736</v>
      </c>
      <c r="Q411" s="367" t="s">
        <v>1321</v>
      </c>
      <c r="R411" s="367">
        <v>78</v>
      </c>
    </row>
    <row r="412" spans="1:18" ht="20.100000000000001" customHeight="1" x14ac:dyDescent="0.2">
      <c r="A412" s="377" t="s">
        <v>616</v>
      </c>
      <c r="B412" s="371" t="s">
        <v>220</v>
      </c>
      <c r="C412" s="371">
        <v>1</v>
      </c>
      <c r="D412" s="372" t="s">
        <v>755</v>
      </c>
      <c r="E412" s="371" t="s">
        <v>304</v>
      </c>
      <c r="F412" s="371" t="s">
        <v>305</v>
      </c>
      <c r="G412" s="371" t="s">
        <v>216</v>
      </c>
      <c r="H412" s="371" t="s">
        <v>772</v>
      </c>
      <c r="I412" s="371" t="s">
        <v>318</v>
      </c>
      <c r="J412" s="371" t="s">
        <v>313</v>
      </c>
      <c r="K412" s="373" t="str">
        <f>IF(O412="Zauberspruch",L412,O412)</f>
        <v>Verändern</v>
      </c>
      <c r="L412" s="373" t="s">
        <v>138</v>
      </c>
      <c r="M412" s="374" t="s">
        <v>322</v>
      </c>
      <c r="N412" s="374" t="s">
        <v>302</v>
      </c>
      <c r="O412" s="373" t="s">
        <v>166</v>
      </c>
      <c r="P412" s="368" t="s">
        <v>617</v>
      </c>
      <c r="Q412" s="367" t="s">
        <v>748</v>
      </c>
      <c r="R412" s="367">
        <v>110</v>
      </c>
    </row>
    <row r="413" spans="1:18" ht="20.100000000000001" customHeight="1" x14ac:dyDescent="0.2">
      <c r="A413" s="377" t="s">
        <v>618</v>
      </c>
      <c r="B413" s="371" t="s">
        <v>219</v>
      </c>
      <c r="C413" s="371">
        <v>4</v>
      </c>
      <c r="D413" s="371">
        <v>2</v>
      </c>
      <c r="E413" s="371" t="s">
        <v>311</v>
      </c>
      <c r="F413" s="371" t="s">
        <v>359</v>
      </c>
      <c r="G413" s="371" t="s">
        <v>217</v>
      </c>
      <c r="H413" s="371" t="s">
        <v>75</v>
      </c>
      <c r="I413" s="371" t="s">
        <v>453</v>
      </c>
      <c r="J413" s="371" t="s">
        <v>307</v>
      </c>
      <c r="K413" s="373" t="str">
        <f>IF(O413="Zauberspruch",L413,O413)</f>
        <v>Dweomer</v>
      </c>
      <c r="L413" s="373" t="s">
        <v>140</v>
      </c>
      <c r="M413" s="373" t="s">
        <v>301</v>
      </c>
      <c r="N413" s="373" t="s">
        <v>302</v>
      </c>
      <c r="O413" s="376" t="s">
        <v>146</v>
      </c>
      <c r="P413" s="394" t="s">
        <v>75</v>
      </c>
      <c r="Q413" s="367" t="s">
        <v>748</v>
      </c>
      <c r="R413" s="367">
        <v>159</v>
      </c>
    </row>
    <row r="414" spans="1:18" ht="20.100000000000001" customHeight="1" x14ac:dyDescent="0.2">
      <c r="A414" s="377" t="s">
        <v>619</v>
      </c>
      <c r="B414" s="371" t="s">
        <v>218</v>
      </c>
      <c r="C414" s="371">
        <v>7</v>
      </c>
      <c r="D414" s="372" t="s">
        <v>397</v>
      </c>
      <c r="E414" s="371" t="s">
        <v>354</v>
      </c>
      <c r="F414" s="371" t="s">
        <v>332</v>
      </c>
      <c r="G414" s="371" t="s">
        <v>217</v>
      </c>
      <c r="H414" s="371" t="s">
        <v>789</v>
      </c>
      <c r="I414" s="371" t="s">
        <v>306</v>
      </c>
      <c r="J414" s="371" t="s">
        <v>313</v>
      </c>
      <c r="K414" s="373" t="str">
        <f>IF(O414="Zauberspruch",L414,O414)</f>
        <v>Zerstören</v>
      </c>
      <c r="L414" s="373" t="s">
        <v>141</v>
      </c>
      <c r="M414" s="374" t="s">
        <v>322</v>
      </c>
      <c r="N414" s="374" t="s">
        <v>309</v>
      </c>
      <c r="O414" s="373" t="s">
        <v>166</v>
      </c>
      <c r="P414" s="368" t="s">
        <v>75</v>
      </c>
      <c r="Q414" s="367" t="s">
        <v>748</v>
      </c>
      <c r="R414" s="367">
        <v>111</v>
      </c>
    </row>
    <row r="415" spans="1:18" ht="20.100000000000001" customHeight="1" x14ac:dyDescent="0.2">
      <c r="A415" s="377" t="s">
        <v>1559</v>
      </c>
      <c r="B415" s="371" t="s">
        <v>219</v>
      </c>
      <c r="C415" s="371">
        <v>9</v>
      </c>
      <c r="D415" s="372">
        <v>4</v>
      </c>
      <c r="E415" s="371" t="s">
        <v>304</v>
      </c>
      <c r="F415" s="371" t="s">
        <v>332</v>
      </c>
      <c r="G415" s="371" t="s">
        <v>217</v>
      </c>
      <c r="H415" s="371" t="s">
        <v>789</v>
      </c>
      <c r="I415" s="371" t="s">
        <v>306</v>
      </c>
      <c r="J415" s="371" t="s">
        <v>313</v>
      </c>
      <c r="K415" s="373" t="str">
        <f>IF(O415="Zauberspruch",L415,O415)</f>
        <v>Zaubersiegel</v>
      </c>
      <c r="L415" s="373" t="s">
        <v>141</v>
      </c>
      <c r="M415" s="374" t="s">
        <v>322</v>
      </c>
      <c r="N415" s="374" t="s">
        <v>309</v>
      </c>
      <c r="O415" s="404" t="s">
        <v>1322</v>
      </c>
      <c r="P415" s="368" t="s">
        <v>1506</v>
      </c>
      <c r="Q415" s="367" t="s">
        <v>1321</v>
      </c>
      <c r="R415" s="367">
        <v>60</v>
      </c>
    </row>
    <row r="416" spans="1:18" ht="20.100000000000001" customHeight="1" x14ac:dyDescent="0.2">
      <c r="A416" s="377" t="s">
        <v>620</v>
      </c>
      <c r="B416" s="371" t="s">
        <v>218</v>
      </c>
      <c r="C416" s="371">
        <v>8</v>
      </c>
      <c r="D416" s="372" t="s">
        <v>397</v>
      </c>
      <c r="E416" s="371" t="s">
        <v>304</v>
      </c>
      <c r="F416" s="371" t="s">
        <v>332</v>
      </c>
      <c r="G416" s="371" t="s">
        <v>217</v>
      </c>
      <c r="H416" s="371" t="s">
        <v>789</v>
      </c>
      <c r="I416" s="371" t="s">
        <v>306</v>
      </c>
      <c r="J416" s="371" t="s">
        <v>313</v>
      </c>
      <c r="K416" s="373" t="str">
        <f>IF(O416="Zauberspruch",L416,O416)</f>
        <v>Zerstören</v>
      </c>
      <c r="L416" s="373" t="s">
        <v>141</v>
      </c>
      <c r="M416" s="374" t="s">
        <v>322</v>
      </c>
      <c r="N416" s="374" t="s">
        <v>322</v>
      </c>
      <c r="O416" s="373" t="s">
        <v>166</v>
      </c>
      <c r="P416" s="368" t="s">
        <v>75</v>
      </c>
      <c r="Q416" s="367" t="s">
        <v>748</v>
      </c>
      <c r="R416" s="367">
        <v>111</v>
      </c>
    </row>
    <row r="417" spans="1:18" ht="20.100000000000001" customHeight="1" x14ac:dyDescent="0.2">
      <c r="A417" s="377" t="s">
        <v>1560</v>
      </c>
      <c r="B417" s="371" t="s">
        <v>219</v>
      </c>
      <c r="C417" s="371">
        <v>9</v>
      </c>
      <c r="D417" s="372">
        <v>4</v>
      </c>
      <c r="E417" s="371" t="s">
        <v>304</v>
      </c>
      <c r="F417" s="371" t="s">
        <v>332</v>
      </c>
      <c r="G417" s="371" t="s">
        <v>217</v>
      </c>
      <c r="H417" s="371" t="s">
        <v>789</v>
      </c>
      <c r="I417" s="371" t="s">
        <v>306</v>
      </c>
      <c r="J417" s="371" t="s">
        <v>313</v>
      </c>
      <c r="K417" s="373" t="str">
        <f>IF(O417="Zauberspruch",L417,O417)</f>
        <v>Zaubersiegel</v>
      </c>
      <c r="L417" s="373" t="s">
        <v>141</v>
      </c>
      <c r="M417" s="374" t="s">
        <v>322</v>
      </c>
      <c r="N417" s="374" t="s">
        <v>322</v>
      </c>
      <c r="O417" s="404" t="s">
        <v>1322</v>
      </c>
      <c r="P417" s="368" t="s">
        <v>1506</v>
      </c>
      <c r="Q417" s="367" t="s">
        <v>1321</v>
      </c>
      <c r="R417" s="367">
        <v>60</v>
      </c>
    </row>
    <row r="418" spans="1:18" ht="20.100000000000001" customHeight="1" x14ac:dyDescent="0.2">
      <c r="A418" s="377" t="s">
        <v>621</v>
      </c>
      <c r="B418" s="371" t="s">
        <v>220</v>
      </c>
      <c r="C418" s="371">
        <v>9</v>
      </c>
      <c r="D418" s="372">
        <v>6</v>
      </c>
      <c r="E418" s="371" t="s">
        <v>354</v>
      </c>
      <c r="F418" s="371" t="s">
        <v>75</v>
      </c>
      <c r="G418" s="371" t="s">
        <v>216</v>
      </c>
      <c r="H418" s="371" t="s">
        <v>791</v>
      </c>
      <c r="I418" s="371" t="s">
        <v>347</v>
      </c>
      <c r="J418" s="371" t="s">
        <v>313</v>
      </c>
      <c r="K418" s="373" t="str">
        <f>IF(O418="Zauberspruch",L418,O418)</f>
        <v>Bewegen</v>
      </c>
      <c r="L418" s="373" t="s">
        <v>140</v>
      </c>
      <c r="M418" s="374" t="s">
        <v>314</v>
      </c>
      <c r="N418" s="374" t="s">
        <v>302</v>
      </c>
      <c r="O418" s="373" t="s">
        <v>166</v>
      </c>
      <c r="P418" s="368" t="s">
        <v>622</v>
      </c>
      <c r="Q418" s="367" t="s">
        <v>748</v>
      </c>
      <c r="R418" s="367">
        <v>112</v>
      </c>
    </row>
    <row r="419" spans="1:18" ht="20.100000000000001" customHeight="1" x14ac:dyDescent="0.2">
      <c r="A419" s="377" t="s">
        <v>1561</v>
      </c>
      <c r="B419" s="371" t="s">
        <v>219</v>
      </c>
      <c r="C419" s="371">
        <v>9</v>
      </c>
      <c r="D419" s="372">
        <v>6</v>
      </c>
      <c r="E419" s="371" t="s">
        <v>304</v>
      </c>
      <c r="F419" s="371" t="s">
        <v>75</v>
      </c>
      <c r="G419" s="371" t="s">
        <v>216</v>
      </c>
      <c r="H419" s="371" t="s">
        <v>770</v>
      </c>
      <c r="I419" s="371" t="s">
        <v>347</v>
      </c>
      <c r="J419" s="371" t="s">
        <v>313</v>
      </c>
      <c r="K419" s="373" t="str">
        <f>IF(O419="Zauberspruch",L419,O419)</f>
        <v>Zaubersiegel</v>
      </c>
      <c r="L419" s="373" t="s">
        <v>140</v>
      </c>
      <c r="M419" s="374" t="s">
        <v>314</v>
      </c>
      <c r="N419" s="374" t="s">
        <v>302</v>
      </c>
      <c r="O419" s="404" t="s">
        <v>1322</v>
      </c>
      <c r="P419" s="368" t="s">
        <v>1562</v>
      </c>
      <c r="Q419" s="367" t="s">
        <v>1321</v>
      </c>
      <c r="R419" s="367">
        <v>60</v>
      </c>
    </row>
    <row r="420" spans="1:18" ht="20.100000000000001" customHeight="1" x14ac:dyDescent="0.2">
      <c r="A420" s="377" t="s">
        <v>623</v>
      </c>
      <c r="B420" s="371" t="s">
        <v>220</v>
      </c>
      <c r="C420" s="371">
        <v>5</v>
      </c>
      <c r="D420" s="372">
        <v>4</v>
      </c>
      <c r="E420" s="371" t="s">
        <v>347</v>
      </c>
      <c r="F420" s="371" t="s">
        <v>25</v>
      </c>
      <c r="G420" s="371" t="s">
        <v>217</v>
      </c>
      <c r="H420" s="371" t="s">
        <v>774</v>
      </c>
      <c r="I420" s="371">
        <v>0</v>
      </c>
      <c r="J420" s="371" t="s">
        <v>328</v>
      </c>
      <c r="K420" s="373" t="str">
        <f>IF(O420="Zauberspruch",L420,O420)</f>
        <v>Bewegen</v>
      </c>
      <c r="L420" s="373" t="s">
        <v>140</v>
      </c>
      <c r="M420" s="374" t="s">
        <v>314</v>
      </c>
      <c r="N420" s="374" t="s">
        <v>319</v>
      </c>
      <c r="O420" s="373" t="s">
        <v>166</v>
      </c>
      <c r="P420" s="368" t="s">
        <v>75</v>
      </c>
      <c r="Q420" s="367" t="s">
        <v>748</v>
      </c>
      <c r="R420" s="367">
        <v>112</v>
      </c>
    </row>
    <row r="421" spans="1:18" ht="20.100000000000001" customHeight="1" x14ac:dyDescent="0.2">
      <c r="A421" s="377" t="s">
        <v>1563</v>
      </c>
      <c r="B421" s="371" t="s">
        <v>219</v>
      </c>
      <c r="C421" s="371">
        <v>5</v>
      </c>
      <c r="D421" s="372">
        <v>4</v>
      </c>
      <c r="E421" s="371" t="s">
        <v>304</v>
      </c>
      <c r="F421" s="371" t="s">
        <v>25</v>
      </c>
      <c r="G421" s="371" t="s">
        <v>217</v>
      </c>
      <c r="H421" s="371" t="s">
        <v>774</v>
      </c>
      <c r="I421" s="371">
        <v>0</v>
      </c>
      <c r="J421" s="371" t="s">
        <v>313</v>
      </c>
      <c r="K421" s="373" t="str">
        <f>IF(O421="Zauberspruch",L421,O421)</f>
        <v>Zaubersiegel</v>
      </c>
      <c r="L421" s="373" t="s">
        <v>140</v>
      </c>
      <c r="M421" s="374" t="s">
        <v>314</v>
      </c>
      <c r="N421" s="374" t="s">
        <v>319</v>
      </c>
      <c r="O421" s="404" t="s">
        <v>1322</v>
      </c>
      <c r="P421" s="368" t="s">
        <v>1500</v>
      </c>
      <c r="Q421" s="367" t="s">
        <v>1321</v>
      </c>
      <c r="R421" s="367">
        <v>60</v>
      </c>
    </row>
    <row r="422" spans="1:18" ht="20.100000000000001" customHeight="1" x14ac:dyDescent="0.2">
      <c r="A422" s="377" t="s">
        <v>624</v>
      </c>
      <c r="B422" s="371" t="s">
        <v>220</v>
      </c>
      <c r="C422" s="371">
        <v>2</v>
      </c>
      <c r="D422" s="387">
        <v>1</v>
      </c>
      <c r="E422" s="371" t="s">
        <v>311</v>
      </c>
      <c r="F422" s="371" t="s">
        <v>25</v>
      </c>
      <c r="G422" s="371" t="s">
        <v>217</v>
      </c>
      <c r="H422" s="371" t="s">
        <v>774</v>
      </c>
      <c r="I422" s="371" t="s">
        <v>318</v>
      </c>
      <c r="J422" s="388" t="s">
        <v>300</v>
      </c>
      <c r="K422" s="373" t="str">
        <f>IF(O422="Zauberspruch",L422,O422)</f>
        <v>Wundertat</v>
      </c>
      <c r="L422" s="376" t="s">
        <v>148</v>
      </c>
      <c r="M422" s="376" t="s">
        <v>314</v>
      </c>
      <c r="N422" s="376" t="s">
        <v>301</v>
      </c>
      <c r="O422" s="376" t="s">
        <v>1183</v>
      </c>
      <c r="P422" s="393" t="s">
        <v>1202</v>
      </c>
      <c r="Q422" s="367" t="s">
        <v>748</v>
      </c>
      <c r="R422" s="367">
        <v>146</v>
      </c>
    </row>
    <row r="423" spans="1:18" ht="20.100000000000001" customHeight="1" x14ac:dyDescent="0.2">
      <c r="A423" s="377" t="s">
        <v>1849</v>
      </c>
      <c r="B423" s="371" t="s">
        <v>220</v>
      </c>
      <c r="C423" s="371">
        <v>8</v>
      </c>
      <c r="D423" s="371">
        <v>4</v>
      </c>
      <c r="E423" s="371" t="s">
        <v>493</v>
      </c>
      <c r="F423" s="371" t="s">
        <v>25</v>
      </c>
      <c r="G423" s="371" t="s">
        <v>215</v>
      </c>
      <c r="H423" s="371" t="s">
        <v>1396</v>
      </c>
      <c r="I423" s="371">
        <v>0</v>
      </c>
      <c r="J423" s="371" t="s">
        <v>307</v>
      </c>
      <c r="K423" s="373" t="str">
        <f>IF(O423="Zauberspruch",L423,O423)</f>
        <v>Dweomer</v>
      </c>
      <c r="L423" s="373" t="s">
        <v>145</v>
      </c>
      <c r="M423" s="373" t="s">
        <v>309</v>
      </c>
      <c r="N423" s="373" t="s">
        <v>314</v>
      </c>
      <c r="O423" s="376" t="s">
        <v>146</v>
      </c>
      <c r="P423" s="376" t="s">
        <v>75</v>
      </c>
      <c r="Q423" s="367" t="s">
        <v>1872</v>
      </c>
      <c r="R423" s="367">
        <v>23</v>
      </c>
    </row>
    <row r="424" spans="1:18" ht="20.100000000000001" customHeight="1" x14ac:dyDescent="0.2">
      <c r="A424" s="377" t="s">
        <v>625</v>
      </c>
      <c r="B424" s="371" t="s">
        <v>219</v>
      </c>
      <c r="C424" s="371">
        <v>4</v>
      </c>
      <c r="D424" s="387">
        <v>2</v>
      </c>
      <c r="E424" s="371" t="s">
        <v>306</v>
      </c>
      <c r="F424" s="371" t="s">
        <v>335</v>
      </c>
      <c r="G424" s="371" t="s">
        <v>215</v>
      </c>
      <c r="H424" s="371" t="s">
        <v>770</v>
      </c>
      <c r="I424" s="371">
        <v>0</v>
      </c>
      <c r="J424" s="388" t="s">
        <v>300</v>
      </c>
      <c r="K424" s="373" t="str">
        <f>IF(O424="Zauberspruch",L424,O424)</f>
        <v>Wundertat</v>
      </c>
      <c r="L424" s="376" t="s">
        <v>138</v>
      </c>
      <c r="M424" s="376" t="s">
        <v>301</v>
      </c>
      <c r="N424" s="376" t="s">
        <v>314</v>
      </c>
      <c r="O424" s="376" t="s">
        <v>1183</v>
      </c>
      <c r="P424" s="389" t="s">
        <v>75</v>
      </c>
      <c r="Q424" s="367" t="s">
        <v>748</v>
      </c>
      <c r="R424" s="367">
        <v>146</v>
      </c>
    </row>
    <row r="425" spans="1:18" ht="20.100000000000001" customHeight="1" x14ac:dyDescent="0.2">
      <c r="A425" s="377" t="s">
        <v>1751</v>
      </c>
      <c r="B425" s="371" t="s">
        <v>219</v>
      </c>
      <c r="C425" s="371">
        <v>4</v>
      </c>
      <c r="D425" s="372">
        <v>2</v>
      </c>
      <c r="E425" s="371" t="s">
        <v>306</v>
      </c>
      <c r="F425" s="371" t="s">
        <v>25</v>
      </c>
      <c r="G425" s="371" t="s">
        <v>215</v>
      </c>
      <c r="H425" s="371" t="s">
        <v>770</v>
      </c>
      <c r="I425" s="371">
        <v>0</v>
      </c>
      <c r="J425" s="371" t="s">
        <v>300</v>
      </c>
      <c r="K425" s="373" t="str">
        <f>IF(O425="Zauberspruch",L425,O425)</f>
        <v>Thaumatherapie</v>
      </c>
      <c r="L425" s="373" t="s">
        <v>138</v>
      </c>
      <c r="M425" s="374" t="s">
        <v>301</v>
      </c>
      <c r="N425" s="374" t="s">
        <v>314</v>
      </c>
      <c r="O425" s="404" t="s">
        <v>1340</v>
      </c>
      <c r="P425" s="368" t="s">
        <v>75</v>
      </c>
      <c r="Q425" s="367" t="s">
        <v>1321</v>
      </c>
      <c r="R425" s="367">
        <v>87</v>
      </c>
    </row>
    <row r="426" spans="1:18" ht="20.100000000000001" customHeight="1" x14ac:dyDescent="0.2">
      <c r="A426" s="377" t="s">
        <v>626</v>
      </c>
      <c r="B426" s="371" t="s">
        <v>220</v>
      </c>
      <c r="C426" s="371">
        <v>3</v>
      </c>
      <c r="D426" s="372">
        <v>2</v>
      </c>
      <c r="E426" s="371" t="s">
        <v>347</v>
      </c>
      <c r="F426" s="371" t="s">
        <v>627</v>
      </c>
      <c r="G426" s="371" t="s">
        <v>215</v>
      </c>
      <c r="H426" s="371" t="s">
        <v>770</v>
      </c>
      <c r="I426" s="371" t="s">
        <v>306</v>
      </c>
      <c r="J426" s="371" t="s">
        <v>313</v>
      </c>
      <c r="K426" s="373" t="str">
        <f>IF(O426="Zauberspruch",L426,O426)</f>
        <v>Erkennen</v>
      </c>
      <c r="L426" s="373" t="s">
        <v>143</v>
      </c>
      <c r="M426" s="374" t="s">
        <v>308</v>
      </c>
      <c r="N426" s="374" t="s">
        <v>314</v>
      </c>
      <c r="O426" s="373" t="s">
        <v>166</v>
      </c>
      <c r="P426" s="368" t="s">
        <v>1203</v>
      </c>
      <c r="Q426" s="367" t="s">
        <v>748</v>
      </c>
      <c r="R426" s="367">
        <v>112</v>
      </c>
    </row>
    <row r="427" spans="1:18" ht="20.100000000000001" customHeight="1" x14ac:dyDescent="0.2">
      <c r="A427" s="377" t="s">
        <v>1850</v>
      </c>
      <c r="B427" s="371" t="s">
        <v>219</v>
      </c>
      <c r="C427" s="371">
        <v>11</v>
      </c>
      <c r="D427" s="371" t="s">
        <v>1799</v>
      </c>
      <c r="E427" s="371" t="s">
        <v>316</v>
      </c>
      <c r="F427" s="371" t="s">
        <v>75</v>
      </c>
      <c r="G427" s="371" t="s">
        <v>215</v>
      </c>
      <c r="H427" s="371" t="s">
        <v>770</v>
      </c>
      <c r="I427" s="371" t="s">
        <v>369</v>
      </c>
      <c r="J427" s="371" t="s">
        <v>307</v>
      </c>
      <c r="K427" s="373" t="str">
        <f>IF(O427="Zauberspruch",L427,O427)</f>
        <v>Dweomer</v>
      </c>
      <c r="L427" s="373" t="s">
        <v>140</v>
      </c>
      <c r="M427" s="373" t="s">
        <v>302</v>
      </c>
      <c r="N427" s="373" t="s">
        <v>314</v>
      </c>
      <c r="O427" s="376" t="s">
        <v>146</v>
      </c>
      <c r="P427" s="376" t="s">
        <v>75</v>
      </c>
      <c r="Q427" s="367" t="s">
        <v>1872</v>
      </c>
      <c r="R427" s="367">
        <v>23</v>
      </c>
    </row>
    <row r="428" spans="1:18" ht="20.100000000000001" customHeight="1" x14ac:dyDescent="0.2">
      <c r="A428" s="377" t="s">
        <v>628</v>
      </c>
      <c r="B428" s="371" t="s">
        <v>220</v>
      </c>
      <c r="C428" s="371">
        <v>3</v>
      </c>
      <c r="D428" s="387">
        <v>2</v>
      </c>
      <c r="E428" s="371" t="s">
        <v>347</v>
      </c>
      <c r="F428" s="371" t="s">
        <v>25</v>
      </c>
      <c r="G428" s="371" t="s">
        <v>216</v>
      </c>
      <c r="H428" s="371" t="s">
        <v>770</v>
      </c>
      <c r="I428" s="371" t="s">
        <v>306</v>
      </c>
      <c r="J428" s="388" t="s">
        <v>300</v>
      </c>
      <c r="K428" s="373" t="str">
        <f>IF(O428="Zauberspruch",L428,O428)</f>
        <v>Wundertat</v>
      </c>
      <c r="L428" s="376" t="s">
        <v>138</v>
      </c>
      <c r="M428" s="376" t="s">
        <v>314</v>
      </c>
      <c r="N428" s="376" t="s">
        <v>309</v>
      </c>
      <c r="O428" s="376" t="s">
        <v>1183</v>
      </c>
      <c r="P428" s="389" t="s">
        <v>75</v>
      </c>
      <c r="Q428" s="367" t="s">
        <v>748</v>
      </c>
      <c r="R428" s="367">
        <v>146</v>
      </c>
    </row>
    <row r="429" spans="1:18" ht="20.100000000000001" customHeight="1" x14ac:dyDescent="0.2">
      <c r="A429" s="377" t="s">
        <v>629</v>
      </c>
      <c r="B429" s="371" t="s">
        <v>218</v>
      </c>
      <c r="C429" s="371">
        <v>3</v>
      </c>
      <c r="D429" s="372">
        <v>2</v>
      </c>
      <c r="E429" s="371" t="s">
        <v>347</v>
      </c>
      <c r="F429" s="371" t="s">
        <v>359</v>
      </c>
      <c r="G429" s="371" t="s">
        <v>216</v>
      </c>
      <c r="H429" s="371" t="s">
        <v>791</v>
      </c>
      <c r="I429" s="371" t="s">
        <v>299</v>
      </c>
      <c r="J429" s="371" t="s">
        <v>313</v>
      </c>
      <c r="K429" s="373" t="str">
        <f>IF(O429="Zauberspruch",L429,O429)</f>
        <v>Verändern</v>
      </c>
      <c r="L429" s="373" t="s">
        <v>138</v>
      </c>
      <c r="M429" s="374" t="s">
        <v>308</v>
      </c>
      <c r="N429" s="374" t="s">
        <v>308</v>
      </c>
      <c r="O429" s="373" t="s">
        <v>166</v>
      </c>
      <c r="P429" s="368" t="s">
        <v>75</v>
      </c>
      <c r="Q429" s="367" t="s">
        <v>748</v>
      </c>
      <c r="R429" s="367">
        <v>113</v>
      </c>
    </row>
    <row r="430" spans="1:18" ht="20.100000000000001" customHeight="1" x14ac:dyDescent="0.2">
      <c r="A430" s="377" t="s">
        <v>1564</v>
      </c>
      <c r="B430" s="371" t="s">
        <v>219</v>
      </c>
      <c r="C430" s="371">
        <v>3</v>
      </c>
      <c r="D430" s="372">
        <v>2</v>
      </c>
      <c r="E430" s="371" t="s">
        <v>304</v>
      </c>
      <c r="F430" s="371" t="s">
        <v>359</v>
      </c>
      <c r="G430" s="371" t="s">
        <v>216</v>
      </c>
      <c r="H430" s="371" t="s">
        <v>770</v>
      </c>
      <c r="I430" s="371" t="s">
        <v>299</v>
      </c>
      <c r="J430" s="371" t="s">
        <v>313</v>
      </c>
      <c r="K430" s="373" t="str">
        <f>IF(O430="Zauberspruch",L430,O430)</f>
        <v>Zaubersiegel</v>
      </c>
      <c r="L430" s="373" t="s">
        <v>138</v>
      </c>
      <c r="M430" s="374" t="s">
        <v>308</v>
      </c>
      <c r="N430" s="374" t="s">
        <v>308</v>
      </c>
      <c r="O430" s="404" t="s">
        <v>1322</v>
      </c>
      <c r="P430" s="368" t="s">
        <v>1565</v>
      </c>
      <c r="Q430" s="367" t="s">
        <v>1321</v>
      </c>
      <c r="R430" s="367">
        <v>60</v>
      </c>
    </row>
    <row r="431" spans="1:18" ht="20.100000000000001" customHeight="1" x14ac:dyDescent="0.2">
      <c r="A431" s="377" t="s">
        <v>630</v>
      </c>
      <c r="B431" s="371" t="s">
        <v>218</v>
      </c>
      <c r="C431" s="371">
        <v>3</v>
      </c>
      <c r="D431" s="372">
        <v>1</v>
      </c>
      <c r="E431" s="371" t="s">
        <v>347</v>
      </c>
      <c r="F431" s="371" t="s">
        <v>536</v>
      </c>
      <c r="G431" s="371" t="s">
        <v>217</v>
      </c>
      <c r="H431" s="371" t="s">
        <v>75</v>
      </c>
      <c r="I431" s="371" t="s">
        <v>439</v>
      </c>
      <c r="J431" s="371" t="s">
        <v>313</v>
      </c>
      <c r="K431" s="373" t="str">
        <f>IF(O431="Zauberspruch",L431,O431)</f>
        <v>Formen</v>
      </c>
      <c r="L431" s="373" t="s">
        <v>148</v>
      </c>
      <c r="M431" s="374" t="s">
        <v>322</v>
      </c>
      <c r="N431" s="374" t="s">
        <v>319</v>
      </c>
      <c r="O431" s="373" t="s">
        <v>166</v>
      </c>
      <c r="P431" s="368" t="s">
        <v>75</v>
      </c>
      <c r="Q431" s="367" t="s">
        <v>748</v>
      </c>
      <c r="R431" s="367">
        <v>113</v>
      </c>
    </row>
    <row r="432" spans="1:18" ht="20.100000000000001" customHeight="1" x14ac:dyDescent="0.2">
      <c r="A432" s="377" t="s">
        <v>1566</v>
      </c>
      <c r="B432" s="371" t="s">
        <v>219</v>
      </c>
      <c r="C432" s="371">
        <v>3</v>
      </c>
      <c r="D432" s="372">
        <v>1</v>
      </c>
      <c r="E432" s="371" t="s">
        <v>304</v>
      </c>
      <c r="F432" s="371" t="s">
        <v>536</v>
      </c>
      <c r="G432" s="371" t="s">
        <v>217</v>
      </c>
      <c r="H432" s="371" t="s">
        <v>75</v>
      </c>
      <c r="I432" s="371" t="s">
        <v>484</v>
      </c>
      <c r="J432" s="371" t="s">
        <v>313</v>
      </c>
      <c r="K432" s="373" t="str">
        <f>IF(O432="Zauberspruch",L432,O432)</f>
        <v>Zaubersiegel</v>
      </c>
      <c r="L432" s="373" t="s">
        <v>148</v>
      </c>
      <c r="M432" s="374" t="s">
        <v>322</v>
      </c>
      <c r="N432" s="374" t="s">
        <v>319</v>
      </c>
      <c r="O432" s="404" t="s">
        <v>1322</v>
      </c>
      <c r="P432" s="368" t="s">
        <v>1528</v>
      </c>
      <c r="Q432" s="367" t="s">
        <v>1321</v>
      </c>
      <c r="R432" s="367">
        <v>60</v>
      </c>
    </row>
    <row r="433" spans="1:18" ht="20.100000000000001" customHeight="1" x14ac:dyDescent="0.2">
      <c r="A433" s="377" t="s">
        <v>1567</v>
      </c>
      <c r="B433" s="371" t="s">
        <v>219</v>
      </c>
      <c r="C433" s="371">
        <v>5</v>
      </c>
      <c r="D433" s="372">
        <v>2</v>
      </c>
      <c r="E433" s="371" t="s">
        <v>304</v>
      </c>
      <c r="F433" s="371" t="s">
        <v>472</v>
      </c>
      <c r="G433" s="371" t="s">
        <v>217</v>
      </c>
      <c r="H433" s="371" t="s">
        <v>774</v>
      </c>
      <c r="I433" s="371" t="s">
        <v>299</v>
      </c>
      <c r="J433" s="371" t="s">
        <v>313</v>
      </c>
      <c r="K433" s="373" t="str">
        <f>IF(O433="Zauberspruch",L433,O433)</f>
        <v>Zaubersiegel</v>
      </c>
      <c r="L433" s="373" t="s">
        <v>140</v>
      </c>
      <c r="M433" s="374" t="s">
        <v>302</v>
      </c>
      <c r="N433" s="374" t="s">
        <v>308</v>
      </c>
      <c r="O433" s="404" t="s">
        <v>1322</v>
      </c>
      <c r="P433" s="368" t="s">
        <v>1568</v>
      </c>
      <c r="Q433" s="367" t="s">
        <v>1321</v>
      </c>
      <c r="R433" s="367">
        <v>60</v>
      </c>
    </row>
    <row r="434" spans="1:18" ht="20.100000000000001" customHeight="1" x14ac:dyDescent="0.2">
      <c r="A434" s="377" t="s">
        <v>1813</v>
      </c>
      <c r="B434" s="371" t="s">
        <v>220</v>
      </c>
      <c r="C434" s="371">
        <v>4</v>
      </c>
      <c r="D434" s="371">
        <v>3</v>
      </c>
      <c r="E434" s="371" t="s">
        <v>311</v>
      </c>
      <c r="F434" s="371" t="s">
        <v>332</v>
      </c>
      <c r="G434" s="371" t="s">
        <v>216</v>
      </c>
      <c r="H434" s="371" t="s">
        <v>420</v>
      </c>
      <c r="I434" s="371" t="s">
        <v>311</v>
      </c>
      <c r="J434" s="371" t="s">
        <v>300</v>
      </c>
      <c r="K434" s="373" t="str">
        <f>IF(O434="Zauberspruch",L434,O434)</f>
        <v>Erkennen</v>
      </c>
      <c r="L434" s="373" t="s">
        <v>143</v>
      </c>
      <c r="M434" s="373" t="s">
        <v>322</v>
      </c>
      <c r="N434" s="373" t="s">
        <v>309</v>
      </c>
      <c r="O434" s="373" t="s">
        <v>166</v>
      </c>
      <c r="P434" s="376" t="s">
        <v>1814</v>
      </c>
      <c r="Q434" s="367" t="s">
        <v>1872</v>
      </c>
      <c r="R434" s="367">
        <v>12</v>
      </c>
    </row>
    <row r="435" spans="1:18" ht="20.100000000000001" customHeight="1" x14ac:dyDescent="0.2">
      <c r="A435" s="377" t="s">
        <v>631</v>
      </c>
      <c r="B435" s="371" t="s">
        <v>220</v>
      </c>
      <c r="C435" s="371">
        <v>4</v>
      </c>
      <c r="D435" s="372">
        <v>2</v>
      </c>
      <c r="E435" s="371" t="s">
        <v>354</v>
      </c>
      <c r="F435" s="371" t="s">
        <v>332</v>
      </c>
      <c r="G435" s="371" t="s">
        <v>215</v>
      </c>
      <c r="H435" s="371" t="s">
        <v>777</v>
      </c>
      <c r="I435" s="371" t="s">
        <v>318</v>
      </c>
      <c r="J435" s="371" t="s">
        <v>300</v>
      </c>
      <c r="K435" s="373" t="str">
        <f>IF(O435="Zauberspruch",L435,O435)</f>
        <v>Beherrschen</v>
      </c>
      <c r="L435" s="373" t="s">
        <v>137</v>
      </c>
      <c r="M435" s="374" t="s">
        <v>314</v>
      </c>
      <c r="N435" s="374" t="s">
        <v>308</v>
      </c>
      <c r="O435" s="373" t="s">
        <v>166</v>
      </c>
      <c r="P435" s="368" t="s">
        <v>75</v>
      </c>
      <c r="Q435" s="367" t="s">
        <v>748</v>
      </c>
      <c r="R435" s="367">
        <v>114</v>
      </c>
    </row>
    <row r="436" spans="1:18" ht="20.100000000000001" customHeight="1" x14ac:dyDescent="0.2">
      <c r="A436" s="377" t="s">
        <v>1569</v>
      </c>
      <c r="B436" s="371" t="s">
        <v>219</v>
      </c>
      <c r="C436" s="371">
        <v>4</v>
      </c>
      <c r="D436" s="372">
        <v>2</v>
      </c>
      <c r="E436" s="371" t="s">
        <v>304</v>
      </c>
      <c r="F436" s="371" t="s">
        <v>332</v>
      </c>
      <c r="G436" s="371" t="s">
        <v>215</v>
      </c>
      <c r="H436" s="371" t="s">
        <v>777</v>
      </c>
      <c r="I436" s="371" t="s">
        <v>318</v>
      </c>
      <c r="J436" s="371" t="s">
        <v>300</v>
      </c>
      <c r="K436" s="373" t="str">
        <f>IF(O436="Zauberspruch",L436,O436)</f>
        <v>Zaubersiegel</v>
      </c>
      <c r="L436" s="373" t="s">
        <v>137</v>
      </c>
      <c r="M436" s="374" t="s">
        <v>314</v>
      </c>
      <c r="N436" s="374" t="s">
        <v>308</v>
      </c>
      <c r="O436" s="404" t="s">
        <v>1322</v>
      </c>
      <c r="P436" s="368" t="s">
        <v>1506</v>
      </c>
      <c r="Q436" s="367" t="s">
        <v>1321</v>
      </c>
      <c r="R436" s="367">
        <v>61</v>
      </c>
    </row>
    <row r="437" spans="1:18" ht="20.100000000000001" customHeight="1" x14ac:dyDescent="0.2">
      <c r="A437" s="377" t="s">
        <v>632</v>
      </c>
      <c r="B437" s="371" t="s">
        <v>220</v>
      </c>
      <c r="C437" s="371">
        <v>8</v>
      </c>
      <c r="D437" s="372">
        <v>4</v>
      </c>
      <c r="E437" s="371" t="s">
        <v>354</v>
      </c>
      <c r="F437" s="371" t="s">
        <v>305</v>
      </c>
      <c r="G437" s="371" t="s">
        <v>215</v>
      </c>
      <c r="H437" s="371" t="s">
        <v>780</v>
      </c>
      <c r="I437" s="371" t="s">
        <v>306</v>
      </c>
      <c r="J437" s="371" t="s">
        <v>300</v>
      </c>
      <c r="K437" s="373" t="str">
        <f>IF(O437="Zauberspruch",L437,O437)</f>
        <v>Beherrschen</v>
      </c>
      <c r="L437" s="373" t="s">
        <v>137</v>
      </c>
      <c r="M437" s="374" t="s">
        <v>314</v>
      </c>
      <c r="N437" s="374" t="s">
        <v>308</v>
      </c>
      <c r="O437" s="373" t="s">
        <v>166</v>
      </c>
      <c r="P437" s="368" t="s">
        <v>633</v>
      </c>
      <c r="Q437" s="367" t="s">
        <v>748</v>
      </c>
      <c r="R437" s="367">
        <v>114</v>
      </c>
    </row>
    <row r="438" spans="1:18" ht="20.100000000000001" customHeight="1" x14ac:dyDescent="0.2">
      <c r="A438" s="377" t="s">
        <v>634</v>
      </c>
      <c r="B438" s="371" t="s">
        <v>220</v>
      </c>
      <c r="C438" s="371">
        <v>2</v>
      </c>
      <c r="D438" s="372">
        <v>1</v>
      </c>
      <c r="E438" s="371" t="s">
        <v>304</v>
      </c>
      <c r="F438" s="371" t="s">
        <v>25</v>
      </c>
      <c r="G438" s="371" t="s">
        <v>217</v>
      </c>
      <c r="H438" s="371" t="s">
        <v>770</v>
      </c>
      <c r="I438" s="371" t="s">
        <v>318</v>
      </c>
      <c r="J438" s="371" t="s">
        <v>313</v>
      </c>
      <c r="K438" s="373" t="str">
        <f>IF(O438="Zauberspruch",L438,O438)</f>
        <v>Erschaffen</v>
      </c>
      <c r="L438" s="373" t="s">
        <v>145</v>
      </c>
      <c r="M438" s="374" t="s">
        <v>322</v>
      </c>
      <c r="N438" s="374" t="s">
        <v>319</v>
      </c>
      <c r="O438" s="373" t="s">
        <v>166</v>
      </c>
      <c r="P438" s="368" t="s">
        <v>635</v>
      </c>
      <c r="Q438" s="367" t="s">
        <v>748</v>
      </c>
      <c r="R438" s="367">
        <v>114</v>
      </c>
    </row>
    <row r="439" spans="1:18" ht="20.100000000000001" customHeight="1" x14ac:dyDescent="0.2">
      <c r="A439" s="377" t="s">
        <v>1570</v>
      </c>
      <c r="B439" s="371" t="s">
        <v>219</v>
      </c>
      <c r="C439" s="371">
        <v>2</v>
      </c>
      <c r="D439" s="372">
        <v>1</v>
      </c>
      <c r="E439" s="371" t="s">
        <v>304</v>
      </c>
      <c r="F439" s="371" t="s">
        <v>25</v>
      </c>
      <c r="G439" s="371" t="s">
        <v>217</v>
      </c>
      <c r="H439" s="371" t="s">
        <v>770</v>
      </c>
      <c r="I439" s="371" t="s">
        <v>318</v>
      </c>
      <c r="J439" s="371" t="s">
        <v>313</v>
      </c>
      <c r="K439" s="373" t="str">
        <f>IF(O439="Zauberspruch",L439,O439)</f>
        <v>Zaubersiegel</v>
      </c>
      <c r="L439" s="373" t="s">
        <v>145</v>
      </c>
      <c r="M439" s="374" t="s">
        <v>322</v>
      </c>
      <c r="N439" s="374" t="s">
        <v>319</v>
      </c>
      <c r="O439" s="404" t="s">
        <v>1322</v>
      </c>
      <c r="P439" s="368" t="s">
        <v>1512</v>
      </c>
      <c r="Q439" s="367" t="s">
        <v>1321</v>
      </c>
      <c r="R439" s="367">
        <v>61</v>
      </c>
    </row>
    <row r="440" spans="1:18" ht="20.100000000000001" customHeight="1" x14ac:dyDescent="0.2">
      <c r="A440" s="377" t="s">
        <v>636</v>
      </c>
      <c r="B440" s="371" t="s">
        <v>218</v>
      </c>
      <c r="C440" s="371">
        <v>9</v>
      </c>
      <c r="D440" s="372">
        <v>6</v>
      </c>
      <c r="E440" s="371" t="s">
        <v>311</v>
      </c>
      <c r="F440" s="371" t="s">
        <v>75</v>
      </c>
      <c r="G440" s="371" t="s">
        <v>215</v>
      </c>
      <c r="H440" s="371" t="s">
        <v>791</v>
      </c>
      <c r="I440" s="371" t="s">
        <v>324</v>
      </c>
      <c r="J440" s="371" t="s">
        <v>313</v>
      </c>
      <c r="K440" s="373" t="str">
        <f>IF(O440="Zauberspruch",L440,O440)</f>
        <v>Verändern</v>
      </c>
      <c r="L440" s="373" t="s">
        <v>138</v>
      </c>
      <c r="M440" s="374" t="s">
        <v>322</v>
      </c>
      <c r="N440" s="374" t="s">
        <v>322</v>
      </c>
      <c r="O440" s="373" t="s">
        <v>166</v>
      </c>
      <c r="P440" s="368" t="s">
        <v>75</v>
      </c>
      <c r="Q440" s="367" t="s">
        <v>748</v>
      </c>
      <c r="R440" s="367">
        <v>114</v>
      </c>
    </row>
    <row r="441" spans="1:18" ht="20.100000000000001" customHeight="1" x14ac:dyDescent="0.2">
      <c r="A441" s="397" t="s">
        <v>1422</v>
      </c>
      <c r="B441" s="398" t="s">
        <v>220</v>
      </c>
      <c r="C441" s="398">
        <v>4</v>
      </c>
      <c r="D441" s="399">
        <v>3</v>
      </c>
      <c r="E441" s="398" t="s">
        <v>484</v>
      </c>
      <c r="F441" s="398" t="s">
        <v>25</v>
      </c>
      <c r="G441" s="398" t="s">
        <v>216</v>
      </c>
      <c r="H441" s="398" t="s">
        <v>770</v>
      </c>
      <c r="I441" s="371">
        <v>0</v>
      </c>
      <c r="J441" s="398" t="s">
        <v>313</v>
      </c>
      <c r="K441" s="373" t="str">
        <f>IF(O441="Zauberspruch",L441,O441)</f>
        <v>Thaumatherapie</v>
      </c>
      <c r="L441" s="400" t="s">
        <v>138</v>
      </c>
      <c r="M441" s="401" t="s">
        <v>322</v>
      </c>
      <c r="N441" s="401" t="s">
        <v>302</v>
      </c>
      <c r="O441" s="405" t="s">
        <v>1340</v>
      </c>
      <c r="P441" s="403" t="s">
        <v>75</v>
      </c>
      <c r="Q441" s="402" t="s">
        <v>1321</v>
      </c>
      <c r="R441" s="402">
        <v>87</v>
      </c>
    </row>
    <row r="442" spans="1:18" ht="20.100000000000001" customHeight="1" x14ac:dyDescent="0.2">
      <c r="A442" s="377" t="s">
        <v>1423</v>
      </c>
      <c r="B442" s="371" t="s">
        <v>220</v>
      </c>
      <c r="C442" s="371">
        <v>6</v>
      </c>
      <c r="D442" s="372">
        <v>3</v>
      </c>
      <c r="E442" s="371" t="s">
        <v>484</v>
      </c>
      <c r="F442" s="371" t="s">
        <v>25</v>
      </c>
      <c r="G442" s="371" t="s">
        <v>216</v>
      </c>
      <c r="H442" s="371" t="s">
        <v>770</v>
      </c>
      <c r="I442" s="371" t="s">
        <v>299</v>
      </c>
      <c r="J442" s="371" t="s">
        <v>313</v>
      </c>
      <c r="K442" s="373" t="str">
        <f>IF(O442="Zauberspruch",L442,O442)</f>
        <v>Thaumatherapie</v>
      </c>
      <c r="L442" s="373" t="s">
        <v>138</v>
      </c>
      <c r="M442" s="374" t="s">
        <v>322</v>
      </c>
      <c r="N442" s="374" t="s">
        <v>302</v>
      </c>
      <c r="O442" s="404" t="s">
        <v>1340</v>
      </c>
      <c r="P442" s="368" t="s">
        <v>75</v>
      </c>
      <c r="Q442" s="367" t="s">
        <v>1321</v>
      </c>
      <c r="R442" s="367">
        <v>87</v>
      </c>
    </row>
    <row r="443" spans="1:18" ht="20.100000000000001" customHeight="1" x14ac:dyDescent="0.2">
      <c r="A443" s="377" t="s">
        <v>184</v>
      </c>
      <c r="B443" s="371" t="s">
        <v>220</v>
      </c>
      <c r="C443" s="371">
        <v>2</v>
      </c>
      <c r="D443" s="372" t="s">
        <v>755</v>
      </c>
      <c r="E443" s="371" t="s">
        <v>304</v>
      </c>
      <c r="F443" s="371" t="s">
        <v>305</v>
      </c>
      <c r="G443" s="371" t="s">
        <v>216</v>
      </c>
      <c r="H443" s="371" t="s">
        <v>772</v>
      </c>
      <c r="I443" s="371" t="s">
        <v>318</v>
      </c>
      <c r="J443" s="371" t="s">
        <v>313</v>
      </c>
      <c r="K443" s="373" t="str">
        <f>IF(O443="Zauberspruch",L443,O443)</f>
        <v>Verändern</v>
      </c>
      <c r="L443" s="373" t="s">
        <v>138</v>
      </c>
      <c r="M443" s="374" t="s">
        <v>322</v>
      </c>
      <c r="N443" s="374" t="s">
        <v>302</v>
      </c>
      <c r="O443" s="373" t="s">
        <v>166</v>
      </c>
      <c r="P443" s="368" t="s">
        <v>637</v>
      </c>
      <c r="Q443" s="367" t="s">
        <v>748</v>
      </c>
      <c r="R443" s="367">
        <v>115</v>
      </c>
    </row>
    <row r="444" spans="1:18" ht="20.100000000000001" customHeight="1" x14ac:dyDescent="0.2">
      <c r="A444" s="377" t="s">
        <v>1571</v>
      </c>
      <c r="B444" s="371" t="s">
        <v>219</v>
      </c>
      <c r="C444" s="371">
        <v>2</v>
      </c>
      <c r="D444" s="372">
        <v>1</v>
      </c>
      <c r="E444" s="371" t="s">
        <v>304</v>
      </c>
      <c r="F444" s="371" t="s">
        <v>305</v>
      </c>
      <c r="G444" s="371" t="s">
        <v>216</v>
      </c>
      <c r="H444" s="371" t="s">
        <v>770</v>
      </c>
      <c r="I444" s="371" t="s">
        <v>318</v>
      </c>
      <c r="J444" s="371" t="s">
        <v>313</v>
      </c>
      <c r="K444" s="373" t="str">
        <f>IF(O444="Zauberspruch",L444,O444)</f>
        <v>Zaubersiegel</v>
      </c>
      <c r="L444" s="373" t="s">
        <v>138</v>
      </c>
      <c r="M444" s="374" t="s">
        <v>322</v>
      </c>
      <c r="N444" s="374" t="s">
        <v>302</v>
      </c>
      <c r="O444" s="404" t="s">
        <v>1322</v>
      </c>
      <c r="P444" s="368" t="s">
        <v>1572</v>
      </c>
      <c r="Q444" s="367" t="s">
        <v>1321</v>
      </c>
      <c r="R444" s="367">
        <v>61</v>
      </c>
    </row>
    <row r="445" spans="1:18" ht="20.100000000000001" customHeight="1" x14ac:dyDescent="0.2">
      <c r="A445" s="377" t="s">
        <v>1634</v>
      </c>
      <c r="B445" s="371" t="s">
        <v>220</v>
      </c>
      <c r="C445" s="371">
        <v>4</v>
      </c>
      <c r="D445" s="372">
        <v>2</v>
      </c>
      <c r="E445" s="371" t="s">
        <v>299</v>
      </c>
      <c r="F445" s="371" t="s">
        <v>75</v>
      </c>
      <c r="G445" s="371" t="s">
        <v>216</v>
      </c>
      <c r="H445" s="371" t="s">
        <v>770</v>
      </c>
      <c r="I445" s="371" t="s">
        <v>397</v>
      </c>
      <c r="J445" s="371" t="s">
        <v>300</v>
      </c>
      <c r="K445" s="373" t="str">
        <f>IF(O445="Zauberspruch",L445,O445)</f>
        <v>Zauberrune</v>
      </c>
      <c r="L445" s="373" t="s">
        <v>138</v>
      </c>
      <c r="M445" s="374" t="s">
        <v>314</v>
      </c>
      <c r="N445" s="374" t="s">
        <v>302</v>
      </c>
      <c r="O445" s="404" t="s">
        <v>1601</v>
      </c>
      <c r="P445" s="368" t="s">
        <v>1737</v>
      </c>
      <c r="Q445" s="367" t="s">
        <v>1321</v>
      </c>
      <c r="R445" s="367">
        <v>78</v>
      </c>
    </row>
    <row r="446" spans="1:18" ht="20.100000000000001" customHeight="1" x14ac:dyDescent="0.2">
      <c r="A446" s="377" t="s">
        <v>1424</v>
      </c>
      <c r="B446" s="371" t="s">
        <v>220</v>
      </c>
      <c r="C446" s="371">
        <v>2</v>
      </c>
      <c r="D446" s="372">
        <v>1</v>
      </c>
      <c r="E446" s="371" t="s">
        <v>484</v>
      </c>
      <c r="F446" s="371" t="s">
        <v>25</v>
      </c>
      <c r="G446" s="371" t="s">
        <v>216</v>
      </c>
      <c r="H446" s="371" t="s">
        <v>770</v>
      </c>
      <c r="I446" s="371" t="s">
        <v>299</v>
      </c>
      <c r="J446" s="371" t="s">
        <v>313</v>
      </c>
      <c r="K446" s="373" t="str">
        <f>IF(O446="Zauberspruch",L446,O446)</f>
        <v>Thaumatherapie</v>
      </c>
      <c r="L446" s="373" t="s">
        <v>138</v>
      </c>
      <c r="M446" s="374" t="s">
        <v>322</v>
      </c>
      <c r="N446" s="374" t="s">
        <v>302</v>
      </c>
      <c r="O446" s="404" t="s">
        <v>1340</v>
      </c>
      <c r="P446" s="368" t="s">
        <v>75</v>
      </c>
      <c r="Q446" s="367" t="s">
        <v>1321</v>
      </c>
      <c r="R446" s="367">
        <v>88</v>
      </c>
    </row>
    <row r="447" spans="1:18" ht="20.100000000000001" customHeight="1" x14ac:dyDescent="0.2">
      <c r="A447" s="377" t="s">
        <v>638</v>
      </c>
      <c r="B447" s="371" t="s">
        <v>220</v>
      </c>
      <c r="C447" s="371">
        <v>4</v>
      </c>
      <c r="D447" s="372">
        <v>3</v>
      </c>
      <c r="E447" s="371" t="s">
        <v>311</v>
      </c>
      <c r="F447" s="371" t="s">
        <v>359</v>
      </c>
      <c r="G447" s="371" t="s">
        <v>217</v>
      </c>
      <c r="H447" s="371" t="s">
        <v>777</v>
      </c>
      <c r="I447" s="371" t="s">
        <v>325</v>
      </c>
      <c r="J447" s="371" t="s">
        <v>328</v>
      </c>
      <c r="K447" s="373" t="str">
        <f>IF(O447="Zauberspruch",L447,O447)</f>
        <v>Erschaffen</v>
      </c>
      <c r="L447" s="373" t="s">
        <v>145</v>
      </c>
      <c r="M447" s="374" t="s">
        <v>302</v>
      </c>
      <c r="N447" s="374" t="s">
        <v>302</v>
      </c>
      <c r="O447" s="373" t="s">
        <v>166</v>
      </c>
      <c r="P447" s="368" t="s">
        <v>395</v>
      </c>
      <c r="Q447" s="367" t="s">
        <v>748</v>
      </c>
      <c r="R447" s="367">
        <v>115</v>
      </c>
    </row>
    <row r="448" spans="1:18" ht="20.100000000000001" customHeight="1" x14ac:dyDescent="0.2">
      <c r="A448" s="377" t="s">
        <v>639</v>
      </c>
      <c r="B448" s="371" t="s">
        <v>220</v>
      </c>
      <c r="C448" s="371">
        <v>4</v>
      </c>
      <c r="D448" s="372" t="s">
        <v>753</v>
      </c>
      <c r="E448" s="371" t="s">
        <v>311</v>
      </c>
      <c r="F448" s="371" t="s">
        <v>321</v>
      </c>
      <c r="G448" s="371" t="s">
        <v>217</v>
      </c>
      <c r="H448" s="371" t="s">
        <v>75</v>
      </c>
      <c r="I448" s="371" t="s">
        <v>306</v>
      </c>
      <c r="J448" s="371" t="s">
        <v>328</v>
      </c>
      <c r="K448" s="373" t="str">
        <f>IF(O448="Zauberspruch",L448,O448)</f>
        <v>Erschaffen</v>
      </c>
      <c r="L448" s="373" t="s">
        <v>145</v>
      </c>
      <c r="M448" s="374" t="s">
        <v>302</v>
      </c>
      <c r="N448" s="374" t="s">
        <v>302</v>
      </c>
      <c r="O448" s="373" t="s">
        <v>166</v>
      </c>
      <c r="P448" s="368" t="s">
        <v>640</v>
      </c>
      <c r="Q448" s="367" t="s">
        <v>748</v>
      </c>
      <c r="R448" s="367">
        <v>115</v>
      </c>
    </row>
    <row r="449" spans="1:18" ht="20.100000000000001" customHeight="1" x14ac:dyDescent="0.2">
      <c r="A449" s="377" t="s">
        <v>641</v>
      </c>
      <c r="B449" s="371" t="s">
        <v>220</v>
      </c>
      <c r="C449" s="371">
        <v>3</v>
      </c>
      <c r="D449" s="372">
        <v>2</v>
      </c>
      <c r="E449" s="371" t="s">
        <v>304</v>
      </c>
      <c r="F449" s="371" t="s">
        <v>332</v>
      </c>
      <c r="G449" s="371" t="s">
        <v>217</v>
      </c>
      <c r="H449" s="371" t="s">
        <v>777</v>
      </c>
      <c r="I449" s="371" t="s">
        <v>347</v>
      </c>
      <c r="J449" s="371" t="s">
        <v>313</v>
      </c>
      <c r="K449" s="373" t="str">
        <f>IF(O449="Zauberspruch",L449,O449)</f>
        <v>Formen</v>
      </c>
      <c r="L449" s="373" t="s">
        <v>148</v>
      </c>
      <c r="M449" s="374" t="s">
        <v>319</v>
      </c>
      <c r="N449" s="374" t="s">
        <v>314</v>
      </c>
      <c r="O449" s="373" t="s">
        <v>166</v>
      </c>
      <c r="P449" s="368" t="s">
        <v>642</v>
      </c>
      <c r="Q449" s="367" t="s">
        <v>748</v>
      </c>
      <c r="R449" s="367">
        <v>115</v>
      </c>
    </row>
    <row r="450" spans="1:18" ht="20.100000000000001" customHeight="1" x14ac:dyDescent="0.2">
      <c r="A450" s="377" t="s">
        <v>1488</v>
      </c>
      <c r="B450" s="371" t="s">
        <v>220</v>
      </c>
      <c r="C450" s="371">
        <v>3</v>
      </c>
      <c r="D450" s="372">
        <v>2</v>
      </c>
      <c r="E450" s="371" t="s">
        <v>304</v>
      </c>
      <c r="F450" s="371" t="s">
        <v>332</v>
      </c>
      <c r="G450" s="371" t="s">
        <v>217</v>
      </c>
      <c r="H450" s="371" t="s">
        <v>777</v>
      </c>
      <c r="I450" s="371" t="s">
        <v>347</v>
      </c>
      <c r="J450" s="371" t="s">
        <v>313</v>
      </c>
      <c r="K450" s="373" t="str">
        <f>IF(O450="Zauberspruch",L450,O450)</f>
        <v>Runenstab</v>
      </c>
      <c r="L450" s="373" t="s">
        <v>148</v>
      </c>
      <c r="M450" s="374" t="s">
        <v>319</v>
      </c>
      <c r="N450" s="374" t="s">
        <v>314</v>
      </c>
      <c r="O450" s="404" t="s">
        <v>1472</v>
      </c>
      <c r="P450" s="368" t="s">
        <v>75</v>
      </c>
      <c r="Q450" s="367" t="s">
        <v>1321</v>
      </c>
      <c r="R450" s="367">
        <v>52</v>
      </c>
    </row>
    <row r="451" spans="1:18" ht="20.100000000000001" customHeight="1" x14ac:dyDescent="0.2">
      <c r="A451" s="377" t="s">
        <v>643</v>
      </c>
      <c r="B451" s="371" t="s">
        <v>218</v>
      </c>
      <c r="C451" s="371">
        <v>2</v>
      </c>
      <c r="D451" s="372">
        <v>1</v>
      </c>
      <c r="E451" s="371" t="s">
        <v>304</v>
      </c>
      <c r="F451" s="371" t="s">
        <v>321</v>
      </c>
      <c r="G451" s="371" t="s">
        <v>217</v>
      </c>
      <c r="H451" s="371" t="s">
        <v>75</v>
      </c>
      <c r="I451" s="371" t="s">
        <v>318</v>
      </c>
      <c r="J451" s="371" t="s">
        <v>313</v>
      </c>
      <c r="K451" s="373" t="str">
        <f>IF(O451="Zauberspruch",L451,O451)</f>
        <v>Bewegen</v>
      </c>
      <c r="L451" s="373" t="s">
        <v>140</v>
      </c>
      <c r="M451" s="374" t="s">
        <v>322</v>
      </c>
      <c r="N451" s="374" t="s">
        <v>314</v>
      </c>
      <c r="O451" s="373" t="s">
        <v>166</v>
      </c>
      <c r="P451" s="368" t="s">
        <v>75</v>
      </c>
      <c r="Q451" s="367" t="s">
        <v>748</v>
      </c>
      <c r="R451" s="367">
        <v>116</v>
      </c>
    </row>
    <row r="452" spans="1:18" ht="20.100000000000001" customHeight="1" x14ac:dyDescent="0.2">
      <c r="A452" s="377" t="s">
        <v>1462</v>
      </c>
      <c r="B452" s="371" t="s">
        <v>218</v>
      </c>
      <c r="C452" s="371">
        <v>2</v>
      </c>
      <c r="D452" s="372">
        <v>1</v>
      </c>
      <c r="E452" s="371" t="s">
        <v>304</v>
      </c>
      <c r="F452" s="371" t="s">
        <v>472</v>
      </c>
      <c r="G452" s="371" t="s">
        <v>217</v>
      </c>
      <c r="H452" s="371" t="s">
        <v>780</v>
      </c>
      <c r="I452" s="371" t="s">
        <v>306</v>
      </c>
      <c r="J452" s="371" t="s">
        <v>313</v>
      </c>
      <c r="K452" s="373" t="str">
        <f>IF(O452="Zauberspruch",L452,O452)</f>
        <v>Zaubersalz</v>
      </c>
      <c r="L452" s="373" t="s">
        <v>145</v>
      </c>
      <c r="M452" s="374" t="s">
        <v>329</v>
      </c>
      <c r="N452" s="374" t="s">
        <v>302</v>
      </c>
      <c r="O452" s="404" t="s">
        <v>1439</v>
      </c>
      <c r="P452" s="368" t="s">
        <v>1706</v>
      </c>
      <c r="Q452" s="367" t="s">
        <v>1321</v>
      </c>
      <c r="R452" s="367">
        <v>49</v>
      </c>
    </row>
    <row r="453" spans="1:18" ht="20.100000000000001" customHeight="1" x14ac:dyDescent="0.2">
      <c r="A453" s="377" t="s">
        <v>1463</v>
      </c>
      <c r="B453" s="371" t="s">
        <v>218</v>
      </c>
      <c r="C453" s="371">
        <v>2</v>
      </c>
      <c r="D453" s="372">
        <v>1</v>
      </c>
      <c r="E453" s="371" t="s">
        <v>304</v>
      </c>
      <c r="F453" s="371" t="s">
        <v>472</v>
      </c>
      <c r="G453" s="371" t="s">
        <v>215</v>
      </c>
      <c r="H453" s="371" t="s">
        <v>770</v>
      </c>
      <c r="I453" s="371" t="s">
        <v>306</v>
      </c>
      <c r="J453" s="371" t="s">
        <v>313</v>
      </c>
      <c r="K453" s="373" t="str">
        <f>IF(O453="Zauberspruch",L453,O453)</f>
        <v>Zaubersalz</v>
      </c>
      <c r="L453" s="373" t="s">
        <v>137</v>
      </c>
      <c r="M453" s="374" t="s">
        <v>322</v>
      </c>
      <c r="N453" s="374" t="s">
        <v>314</v>
      </c>
      <c r="O453" s="404" t="s">
        <v>1439</v>
      </c>
      <c r="P453" s="368" t="s">
        <v>1706</v>
      </c>
      <c r="Q453" s="367" t="s">
        <v>1321</v>
      </c>
      <c r="R453" s="367">
        <v>49</v>
      </c>
    </row>
    <row r="454" spans="1:18" ht="20.100000000000001" customHeight="1" x14ac:dyDescent="0.2">
      <c r="A454" s="377" t="s">
        <v>644</v>
      </c>
      <c r="B454" s="371" t="s">
        <v>220</v>
      </c>
      <c r="C454" s="371">
        <v>4</v>
      </c>
      <c r="D454" s="387">
        <v>2</v>
      </c>
      <c r="E454" s="388" t="s">
        <v>311</v>
      </c>
      <c r="F454" s="371" t="s">
        <v>25</v>
      </c>
      <c r="G454" s="371" t="s">
        <v>217</v>
      </c>
      <c r="H454" s="371" t="s">
        <v>791</v>
      </c>
      <c r="I454" s="371" t="s">
        <v>318</v>
      </c>
      <c r="J454" s="388" t="s">
        <v>300</v>
      </c>
      <c r="K454" s="373" t="str">
        <f>IF(O454="Zauberspruch",L454,O454)</f>
        <v>Wundertat</v>
      </c>
      <c r="L454" s="376" t="s">
        <v>148</v>
      </c>
      <c r="M454" s="376" t="s">
        <v>308</v>
      </c>
      <c r="N454" s="376" t="s">
        <v>319</v>
      </c>
      <c r="O454" s="376" t="s">
        <v>1183</v>
      </c>
      <c r="P454" s="389" t="s">
        <v>75</v>
      </c>
      <c r="Q454" s="367" t="s">
        <v>748</v>
      </c>
      <c r="R454" s="367">
        <v>147</v>
      </c>
    </row>
    <row r="455" spans="1:18" ht="20.100000000000001" customHeight="1" x14ac:dyDescent="0.2">
      <c r="A455" s="377" t="s">
        <v>1815</v>
      </c>
      <c r="B455" s="371" t="s">
        <v>220</v>
      </c>
      <c r="C455" s="371">
        <v>10</v>
      </c>
      <c r="D455" s="371">
        <v>6</v>
      </c>
      <c r="E455" s="371" t="s">
        <v>347</v>
      </c>
      <c r="F455" s="371" t="s">
        <v>332</v>
      </c>
      <c r="G455" s="371" t="s">
        <v>217</v>
      </c>
      <c r="H455" s="371" t="s">
        <v>1816</v>
      </c>
      <c r="I455" s="371" t="s">
        <v>306</v>
      </c>
      <c r="J455" s="371" t="s">
        <v>328</v>
      </c>
      <c r="K455" s="373" t="str">
        <f>IF(O455="Zauberspruch",L455,O455)</f>
        <v>Bewegen</v>
      </c>
      <c r="L455" s="373" t="s">
        <v>140</v>
      </c>
      <c r="M455" s="373" t="s">
        <v>309</v>
      </c>
      <c r="N455" s="373" t="s">
        <v>309</v>
      </c>
      <c r="O455" s="373" t="s">
        <v>166</v>
      </c>
      <c r="P455" s="376" t="s">
        <v>1817</v>
      </c>
      <c r="Q455" s="367" t="s">
        <v>1872</v>
      </c>
      <c r="R455" s="367">
        <v>12</v>
      </c>
    </row>
    <row r="456" spans="1:18" ht="20.100000000000001" customHeight="1" x14ac:dyDescent="0.2">
      <c r="A456" s="377" t="s">
        <v>645</v>
      </c>
      <c r="B456" s="371" t="s">
        <v>220</v>
      </c>
      <c r="C456" s="371">
        <v>8</v>
      </c>
      <c r="D456" s="372">
        <v>4</v>
      </c>
      <c r="E456" s="371" t="s">
        <v>311</v>
      </c>
      <c r="F456" s="371" t="s">
        <v>25</v>
      </c>
      <c r="G456" s="371" t="s">
        <v>216</v>
      </c>
      <c r="H456" s="371" t="s">
        <v>770</v>
      </c>
      <c r="I456" s="371">
        <v>0</v>
      </c>
      <c r="J456" s="371" t="s">
        <v>328</v>
      </c>
      <c r="K456" s="373" t="str">
        <f>IF(O456="Zauberspruch",L456,O456)</f>
        <v>Bewegen</v>
      </c>
      <c r="L456" s="373" t="s">
        <v>140</v>
      </c>
      <c r="M456" s="374" t="s">
        <v>314</v>
      </c>
      <c r="N456" s="374" t="s">
        <v>302</v>
      </c>
      <c r="O456" s="373" t="s">
        <v>166</v>
      </c>
      <c r="P456" s="368" t="s">
        <v>75</v>
      </c>
      <c r="Q456" s="367" t="s">
        <v>748</v>
      </c>
      <c r="R456" s="367">
        <v>116</v>
      </c>
    </row>
    <row r="457" spans="1:18" ht="20.100000000000001" customHeight="1" x14ac:dyDescent="0.2">
      <c r="A457" s="377" t="s">
        <v>646</v>
      </c>
      <c r="B457" s="371" t="s">
        <v>220</v>
      </c>
      <c r="C457" s="371">
        <v>10</v>
      </c>
      <c r="D457" s="372">
        <v>6</v>
      </c>
      <c r="E457" s="371" t="s">
        <v>354</v>
      </c>
      <c r="F457" s="371" t="s">
        <v>332</v>
      </c>
      <c r="G457" s="371" t="s">
        <v>217</v>
      </c>
      <c r="H457" s="371" t="s">
        <v>420</v>
      </c>
      <c r="I457" s="371" t="s">
        <v>325</v>
      </c>
      <c r="J457" s="371" t="s">
        <v>328</v>
      </c>
      <c r="K457" s="373" t="str">
        <f>IF(O457="Zauberspruch",L457,O457)</f>
        <v>Bewegen</v>
      </c>
      <c r="L457" s="373" t="s">
        <v>140</v>
      </c>
      <c r="M457" s="374" t="s">
        <v>314</v>
      </c>
      <c r="N457" s="374" t="s">
        <v>314</v>
      </c>
      <c r="O457" s="373" t="s">
        <v>166</v>
      </c>
      <c r="P457" s="368" t="s">
        <v>75</v>
      </c>
      <c r="Q457" s="367" t="s">
        <v>748</v>
      </c>
      <c r="R457" s="367">
        <v>117</v>
      </c>
    </row>
    <row r="458" spans="1:18" ht="20.100000000000001" customHeight="1" x14ac:dyDescent="0.2">
      <c r="A458" s="377" t="s">
        <v>1489</v>
      </c>
      <c r="B458" s="371" t="s">
        <v>220</v>
      </c>
      <c r="C458" s="371">
        <v>10</v>
      </c>
      <c r="D458" s="372">
        <v>6</v>
      </c>
      <c r="E458" s="371" t="s">
        <v>304</v>
      </c>
      <c r="F458" s="371" t="s">
        <v>332</v>
      </c>
      <c r="G458" s="371" t="s">
        <v>217</v>
      </c>
      <c r="H458" s="371" t="s">
        <v>420</v>
      </c>
      <c r="I458" s="371" t="s">
        <v>325</v>
      </c>
      <c r="J458" s="371" t="s">
        <v>328</v>
      </c>
      <c r="K458" s="373" t="str">
        <f>IF(O458="Zauberspruch",L458,O458)</f>
        <v>Runenstab</v>
      </c>
      <c r="L458" s="373" t="s">
        <v>140</v>
      </c>
      <c r="M458" s="374" t="s">
        <v>314</v>
      </c>
      <c r="N458" s="374" t="s">
        <v>314</v>
      </c>
      <c r="O458" s="404" t="s">
        <v>1472</v>
      </c>
      <c r="P458" s="368" t="s">
        <v>75</v>
      </c>
      <c r="Q458" s="367" t="s">
        <v>1321</v>
      </c>
      <c r="R458" s="367">
        <v>52</v>
      </c>
    </row>
    <row r="459" spans="1:18" ht="20.100000000000001" customHeight="1" x14ac:dyDescent="0.2">
      <c r="A459" s="377" t="s">
        <v>647</v>
      </c>
      <c r="B459" s="371" t="s">
        <v>220</v>
      </c>
      <c r="C459" s="371">
        <v>3</v>
      </c>
      <c r="D459" s="372">
        <v>1</v>
      </c>
      <c r="E459" s="371" t="s">
        <v>311</v>
      </c>
      <c r="F459" s="371" t="s">
        <v>359</v>
      </c>
      <c r="G459" s="371" t="s">
        <v>217</v>
      </c>
      <c r="H459" s="371" t="s">
        <v>778</v>
      </c>
      <c r="I459" s="371" t="s">
        <v>318</v>
      </c>
      <c r="J459" s="371" t="s">
        <v>328</v>
      </c>
      <c r="K459" s="373" t="str">
        <f>IF(O459="Zauberspruch",L459,O459)</f>
        <v>Formen</v>
      </c>
      <c r="L459" s="373" t="s">
        <v>148</v>
      </c>
      <c r="M459" s="374" t="s">
        <v>309</v>
      </c>
      <c r="N459" s="374" t="s">
        <v>302</v>
      </c>
      <c r="O459" s="373" t="s">
        <v>166</v>
      </c>
      <c r="P459" s="368" t="s">
        <v>648</v>
      </c>
      <c r="Q459" s="367" t="s">
        <v>748</v>
      </c>
      <c r="R459" s="367">
        <v>117</v>
      </c>
    </row>
    <row r="460" spans="1:18" ht="20.100000000000001" customHeight="1" x14ac:dyDescent="0.2">
      <c r="A460" s="377" t="s">
        <v>1464</v>
      </c>
      <c r="B460" s="371" t="s">
        <v>218</v>
      </c>
      <c r="C460" s="371">
        <v>1</v>
      </c>
      <c r="D460" s="372">
        <v>1</v>
      </c>
      <c r="E460" s="371" t="s">
        <v>304</v>
      </c>
      <c r="F460" s="371" t="s">
        <v>472</v>
      </c>
      <c r="G460" s="371" t="s">
        <v>216</v>
      </c>
      <c r="H460" s="371" t="s">
        <v>770</v>
      </c>
      <c r="I460" s="371" t="s">
        <v>306</v>
      </c>
      <c r="J460" s="371" t="s">
        <v>313</v>
      </c>
      <c r="K460" s="373" t="str">
        <f>IF(O460="Zauberspruch",L460,O460)</f>
        <v>Zaubersalz</v>
      </c>
      <c r="L460" s="373" t="s">
        <v>138</v>
      </c>
      <c r="M460" s="374" t="s">
        <v>322</v>
      </c>
      <c r="N460" s="374" t="s">
        <v>309</v>
      </c>
      <c r="O460" s="404" t="s">
        <v>1439</v>
      </c>
      <c r="P460" s="368" t="s">
        <v>1706</v>
      </c>
      <c r="Q460" s="367" t="s">
        <v>1321</v>
      </c>
      <c r="R460" s="367">
        <v>49</v>
      </c>
    </row>
    <row r="461" spans="1:18" ht="20.100000000000001" customHeight="1" x14ac:dyDescent="0.2">
      <c r="A461" s="377" t="s">
        <v>649</v>
      </c>
      <c r="B461" s="371" t="s">
        <v>220</v>
      </c>
      <c r="C461" s="371">
        <v>9</v>
      </c>
      <c r="D461" s="372">
        <v>6</v>
      </c>
      <c r="E461" s="371" t="s">
        <v>311</v>
      </c>
      <c r="F461" s="371" t="s">
        <v>25</v>
      </c>
      <c r="G461" s="371" t="s">
        <v>217</v>
      </c>
      <c r="H461" s="371" t="s">
        <v>774</v>
      </c>
      <c r="I461" s="371" t="s">
        <v>311</v>
      </c>
      <c r="J461" s="371" t="s">
        <v>307</v>
      </c>
      <c r="K461" s="373" t="str">
        <f>IF(O461="Zauberspruch",L461,O461)</f>
        <v>Formen</v>
      </c>
      <c r="L461" s="373" t="s">
        <v>148</v>
      </c>
      <c r="M461" s="374" t="s">
        <v>302</v>
      </c>
      <c r="N461" s="374" t="s">
        <v>302</v>
      </c>
      <c r="O461" s="373" t="s">
        <v>166</v>
      </c>
      <c r="P461" s="368" t="s">
        <v>1204</v>
      </c>
      <c r="Q461" s="367" t="s">
        <v>748</v>
      </c>
      <c r="R461" s="367">
        <v>117</v>
      </c>
    </row>
    <row r="462" spans="1:18" ht="20.100000000000001" customHeight="1" x14ac:dyDescent="0.2">
      <c r="A462" s="377" t="s">
        <v>650</v>
      </c>
      <c r="B462" s="371" t="s">
        <v>219</v>
      </c>
      <c r="C462" s="371">
        <v>5</v>
      </c>
      <c r="D462" s="372" t="s">
        <v>517</v>
      </c>
      <c r="E462" s="371" t="s">
        <v>311</v>
      </c>
      <c r="F462" s="371" t="s">
        <v>518</v>
      </c>
      <c r="G462" s="371" t="s">
        <v>215</v>
      </c>
      <c r="H462" s="371" t="s">
        <v>772</v>
      </c>
      <c r="I462" s="371" t="s">
        <v>306</v>
      </c>
      <c r="J462" s="371" t="s">
        <v>307</v>
      </c>
      <c r="K462" s="373" t="str">
        <f>IF(O462="Zauberspruch",L462,O462)</f>
        <v>Dweomer</v>
      </c>
      <c r="L462" s="373" t="s">
        <v>137</v>
      </c>
      <c r="M462" s="373" t="s">
        <v>301</v>
      </c>
      <c r="N462" s="373" t="s">
        <v>309</v>
      </c>
      <c r="O462" s="376" t="s">
        <v>146</v>
      </c>
      <c r="P462" s="394" t="s">
        <v>75</v>
      </c>
      <c r="Q462" s="367" t="s">
        <v>748</v>
      </c>
      <c r="R462" s="367">
        <v>159</v>
      </c>
    </row>
    <row r="463" spans="1:18" ht="20.100000000000001" customHeight="1" x14ac:dyDescent="0.2">
      <c r="A463" s="377" t="str">
        <f>CONCATENATE("Tiergestalt "&amp;Totem)</f>
        <v xml:space="preserve">Tiergestalt </v>
      </c>
      <c r="B463" s="371" t="s">
        <v>220</v>
      </c>
      <c r="C463" s="371">
        <v>9</v>
      </c>
      <c r="D463" s="371">
        <v>6</v>
      </c>
      <c r="E463" s="371" t="s">
        <v>354</v>
      </c>
      <c r="F463" s="371" t="s">
        <v>75</v>
      </c>
      <c r="G463" s="371" t="s">
        <v>216</v>
      </c>
      <c r="H463" s="371" t="s">
        <v>791</v>
      </c>
      <c r="I463" s="371" t="s">
        <v>369</v>
      </c>
      <c r="J463" s="371" t="s">
        <v>307</v>
      </c>
      <c r="K463" s="373" t="str">
        <f>IF(O463="Zauberspruch",L463,O463)</f>
        <v>Dweomer</v>
      </c>
      <c r="L463" s="373" t="s">
        <v>138</v>
      </c>
      <c r="M463" s="373" t="s">
        <v>309</v>
      </c>
      <c r="N463" s="373" t="s">
        <v>302</v>
      </c>
      <c r="O463" s="376" t="s">
        <v>146</v>
      </c>
      <c r="P463" s="394" t="s">
        <v>651</v>
      </c>
      <c r="Q463" s="367" t="s">
        <v>748</v>
      </c>
      <c r="R463" s="367">
        <v>160</v>
      </c>
    </row>
    <row r="464" spans="1:18" ht="20.100000000000001" customHeight="1" x14ac:dyDescent="0.2">
      <c r="A464" s="377" t="s">
        <v>652</v>
      </c>
      <c r="B464" s="371" t="s">
        <v>219</v>
      </c>
      <c r="C464" s="371">
        <v>4</v>
      </c>
      <c r="D464" s="371" t="s">
        <v>756</v>
      </c>
      <c r="E464" s="371" t="s">
        <v>311</v>
      </c>
      <c r="F464" s="371" t="s">
        <v>305</v>
      </c>
      <c r="G464" s="371" t="s">
        <v>215</v>
      </c>
      <c r="H464" s="371" t="s">
        <v>799</v>
      </c>
      <c r="I464" s="371" t="s">
        <v>556</v>
      </c>
      <c r="J464" s="371" t="s">
        <v>307</v>
      </c>
      <c r="K464" s="373" t="str">
        <f>IF(O464="Zauberspruch",L464,O464)</f>
        <v>Dweomer</v>
      </c>
      <c r="L464" s="373" t="s">
        <v>137</v>
      </c>
      <c r="M464" s="373" t="s">
        <v>301</v>
      </c>
      <c r="N464" s="373" t="s">
        <v>309</v>
      </c>
      <c r="O464" s="376" t="s">
        <v>146</v>
      </c>
      <c r="P464" s="394" t="s">
        <v>75</v>
      </c>
      <c r="Q464" s="367" t="s">
        <v>748</v>
      </c>
      <c r="R464" s="367">
        <v>160</v>
      </c>
    </row>
    <row r="465" spans="1:18" ht="20.100000000000001" customHeight="1" x14ac:dyDescent="0.2">
      <c r="A465" s="377" t="s">
        <v>653</v>
      </c>
      <c r="B465" s="371" t="s">
        <v>220</v>
      </c>
      <c r="C465" s="371">
        <v>9</v>
      </c>
      <c r="D465" s="372" t="s">
        <v>764</v>
      </c>
      <c r="E465" s="371" t="s">
        <v>354</v>
      </c>
      <c r="F465" s="371" t="s">
        <v>305</v>
      </c>
      <c r="G465" s="371" t="s">
        <v>215</v>
      </c>
      <c r="H465" s="371" t="s">
        <v>773</v>
      </c>
      <c r="I465" s="371" t="s">
        <v>397</v>
      </c>
      <c r="J465" s="371" t="s">
        <v>313</v>
      </c>
      <c r="K465" s="373" t="str">
        <f>IF(O465="Zauberspruch",L465,O465)</f>
        <v>Beherrschen</v>
      </c>
      <c r="L465" s="373" t="s">
        <v>137</v>
      </c>
      <c r="M465" s="374" t="s">
        <v>309</v>
      </c>
      <c r="N465" s="374" t="s">
        <v>314</v>
      </c>
      <c r="O465" s="373" t="s">
        <v>166</v>
      </c>
      <c r="P465" s="368" t="s">
        <v>654</v>
      </c>
      <c r="Q465" s="367" t="s">
        <v>748</v>
      </c>
      <c r="R465" s="367">
        <v>118</v>
      </c>
    </row>
    <row r="466" spans="1:18" ht="20.100000000000001" customHeight="1" x14ac:dyDescent="0.2">
      <c r="A466" s="377" t="s">
        <v>1573</v>
      </c>
      <c r="B466" s="371" t="s">
        <v>219</v>
      </c>
      <c r="C466" s="371">
        <v>9</v>
      </c>
      <c r="D466" s="372">
        <v>6</v>
      </c>
      <c r="E466" s="371" t="s">
        <v>304</v>
      </c>
      <c r="F466" s="371" t="s">
        <v>305</v>
      </c>
      <c r="G466" s="371" t="s">
        <v>215</v>
      </c>
      <c r="H466" s="371" t="s">
        <v>770</v>
      </c>
      <c r="I466" s="371" t="s">
        <v>397</v>
      </c>
      <c r="J466" s="371" t="s">
        <v>313</v>
      </c>
      <c r="K466" s="373" t="str">
        <f>IF(O466="Zauberspruch",L466,O466)</f>
        <v>Zaubersiegel</v>
      </c>
      <c r="L466" s="373" t="s">
        <v>137</v>
      </c>
      <c r="M466" s="374" t="s">
        <v>309</v>
      </c>
      <c r="N466" s="374" t="s">
        <v>314</v>
      </c>
      <c r="O466" s="404" t="s">
        <v>1322</v>
      </c>
      <c r="P466" s="368" t="s">
        <v>1497</v>
      </c>
      <c r="Q466" s="367" t="s">
        <v>1321</v>
      </c>
      <c r="R466" s="367">
        <v>61</v>
      </c>
    </row>
    <row r="467" spans="1:18" ht="20.100000000000001" customHeight="1" x14ac:dyDescent="0.2">
      <c r="A467" s="377" t="s">
        <v>1635</v>
      </c>
      <c r="B467" s="371" t="s">
        <v>220</v>
      </c>
      <c r="C467" s="371">
        <v>8</v>
      </c>
      <c r="D467" s="372">
        <v>6</v>
      </c>
      <c r="E467" s="371" t="s">
        <v>299</v>
      </c>
      <c r="F467" s="371" t="s">
        <v>75</v>
      </c>
      <c r="G467" s="371" t="s">
        <v>216</v>
      </c>
      <c r="H467" s="371" t="s">
        <v>791</v>
      </c>
      <c r="I467" s="371" t="s">
        <v>1622</v>
      </c>
      <c r="J467" s="371" t="s">
        <v>300</v>
      </c>
      <c r="K467" s="373" t="str">
        <f>IF(O467="Zauberspruch",L467,O467)</f>
        <v>Zauberrune</v>
      </c>
      <c r="L467" s="373" t="s">
        <v>138</v>
      </c>
      <c r="M467" s="374" t="s">
        <v>309</v>
      </c>
      <c r="N467" s="374" t="s">
        <v>302</v>
      </c>
      <c r="O467" s="404" t="s">
        <v>1601</v>
      </c>
      <c r="P467" s="368" t="s">
        <v>1738</v>
      </c>
      <c r="Q467" s="367" t="s">
        <v>1321</v>
      </c>
      <c r="R467" s="367">
        <v>78</v>
      </c>
    </row>
    <row r="468" spans="1:18" ht="20.100000000000001" customHeight="1" x14ac:dyDescent="0.2">
      <c r="A468" s="377" t="s">
        <v>1397</v>
      </c>
      <c r="B468" s="371" t="s">
        <v>219</v>
      </c>
      <c r="C468" s="371">
        <v>7</v>
      </c>
      <c r="D468" s="372">
        <v>4</v>
      </c>
      <c r="E468" s="371" t="s">
        <v>354</v>
      </c>
      <c r="F468" s="371" t="s">
        <v>321</v>
      </c>
      <c r="G468" s="371" t="s">
        <v>216</v>
      </c>
      <c r="H468" s="371" t="s">
        <v>791</v>
      </c>
      <c r="I468" s="371" t="s">
        <v>318</v>
      </c>
      <c r="J468" s="371" t="s">
        <v>307</v>
      </c>
      <c r="K468" s="373" t="str">
        <f>IF(O468="Zauberspruch",L468,O468)</f>
        <v>Dweomer</v>
      </c>
      <c r="L468" s="373" t="s">
        <v>143</v>
      </c>
      <c r="M468" s="374" t="s">
        <v>309</v>
      </c>
      <c r="N468" s="374" t="s">
        <v>314</v>
      </c>
      <c r="O468" s="404" t="s">
        <v>146</v>
      </c>
      <c r="P468" s="368" t="s">
        <v>75</v>
      </c>
      <c r="Q468" s="367" t="s">
        <v>1321</v>
      </c>
      <c r="R468" s="367">
        <v>93</v>
      </c>
    </row>
    <row r="469" spans="1:18" ht="20.100000000000001" customHeight="1" x14ac:dyDescent="0.2">
      <c r="A469" s="377" t="s">
        <v>1249</v>
      </c>
      <c r="B469" s="371" t="s">
        <v>219</v>
      </c>
      <c r="C469" s="371">
        <v>7</v>
      </c>
      <c r="D469" s="372">
        <v>4</v>
      </c>
      <c r="E469" s="371" t="s">
        <v>354</v>
      </c>
      <c r="F469" s="371" t="s">
        <v>321</v>
      </c>
      <c r="G469" s="371" t="s">
        <v>216</v>
      </c>
      <c r="H469" s="371" t="s">
        <v>791</v>
      </c>
      <c r="I469" s="371" t="s">
        <v>318</v>
      </c>
      <c r="J469" s="371" t="s">
        <v>307</v>
      </c>
      <c r="K469" s="373" t="str">
        <f>IF(O469="Zauberspruch",L469,O469)</f>
        <v>Erkennen</v>
      </c>
      <c r="L469" s="373" t="s">
        <v>143</v>
      </c>
      <c r="M469" s="374" t="s">
        <v>309</v>
      </c>
      <c r="N469" s="374" t="s">
        <v>314</v>
      </c>
      <c r="O469" s="373" t="s">
        <v>166</v>
      </c>
      <c r="P469" s="368" t="s">
        <v>75</v>
      </c>
      <c r="Q469" s="367" t="s">
        <v>748</v>
      </c>
      <c r="R469" s="367">
        <v>118</v>
      </c>
    </row>
    <row r="470" spans="1:18" ht="20.100000000000001" customHeight="1" x14ac:dyDescent="0.2">
      <c r="A470" s="377" t="s">
        <v>1210</v>
      </c>
      <c r="B470" s="371" t="s">
        <v>219</v>
      </c>
      <c r="C470" s="371">
        <v>7</v>
      </c>
      <c r="D470" s="372">
        <v>4</v>
      </c>
      <c r="E470" s="371" t="s">
        <v>354</v>
      </c>
      <c r="F470" s="371" t="s">
        <v>321</v>
      </c>
      <c r="G470" s="371" t="s">
        <v>216</v>
      </c>
      <c r="H470" s="371" t="s">
        <v>791</v>
      </c>
      <c r="I470" s="371" t="s">
        <v>318</v>
      </c>
      <c r="J470" s="371" t="s">
        <v>307</v>
      </c>
      <c r="K470" s="373" t="str">
        <f>IF(O470="Zauberspruch",L470,O470)</f>
        <v>Erkennen</v>
      </c>
      <c r="L470" s="373" t="s">
        <v>143</v>
      </c>
      <c r="M470" s="374" t="s">
        <v>309</v>
      </c>
      <c r="N470" s="374" t="s">
        <v>314</v>
      </c>
      <c r="O470" s="373" t="s">
        <v>166</v>
      </c>
      <c r="P470" s="368" t="s">
        <v>75</v>
      </c>
      <c r="Q470" s="367" t="s">
        <v>748</v>
      </c>
      <c r="R470" s="367">
        <v>118</v>
      </c>
    </row>
    <row r="471" spans="1:18" ht="20.100000000000001" customHeight="1" x14ac:dyDescent="0.2">
      <c r="A471" s="377" t="s">
        <v>1209</v>
      </c>
      <c r="B471" s="371" t="s">
        <v>219</v>
      </c>
      <c r="C471" s="371">
        <v>7</v>
      </c>
      <c r="D471" s="372">
        <v>4</v>
      </c>
      <c r="E471" s="371" t="s">
        <v>354</v>
      </c>
      <c r="F471" s="371" t="s">
        <v>321</v>
      </c>
      <c r="G471" s="371" t="s">
        <v>216</v>
      </c>
      <c r="H471" s="371" t="s">
        <v>791</v>
      </c>
      <c r="I471" s="371" t="s">
        <v>318</v>
      </c>
      <c r="J471" s="371" t="s">
        <v>307</v>
      </c>
      <c r="K471" s="373" t="str">
        <f>IF(O471="Zauberspruch",L471,O471)</f>
        <v>Erkennen</v>
      </c>
      <c r="L471" s="373" t="s">
        <v>143</v>
      </c>
      <c r="M471" s="374" t="s">
        <v>309</v>
      </c>
      <c r="N471" s="374" t="s">
        <v>314</v>
      </c>
      <c r="O471" s="373" t="s">
        <v>166</v>
      </c>
      <c r="P471" s="368" t="s">
        <v>75</v>
      </c>
      <c r="Q471" s="367" t="s">
        <v>748</v>
      </c>
      <c r="R471" s="367">
        <v>118</v>
      </c>
    </row>
    <row r="472" spans="1:18" ht="20.100000000000001" customHeight="1" x14ac:dyDescent="0.2">
      <c r="A472" s="377" t="s">
        <v>655</v>
      </c>
      <c r="B472" s="371" t="s">
        <v>220</v>
      </c>
      <c r="C472" s="371">
        <v>5</v>
      </c>
      <c r="D472" s="372">
        <v>3</v>
      </c>
      <c r="E472" s="371" t="s">
        <v>304</v>
      </c>
      <c r="F472" s="371" t="s">
        <v>332</v>
      </c>
      <c r="G472" s="371" t="s">
        <v>217</v>
      </c>
      <c r="H472" s="371" t="s">
        <v>797</v>
      </c>
      <c r="I472" s="371" t="s">
        <v>347</v>
      </c>
      <c r="J472" s="371" t="s">
        <v>313</v>
      </c>
      <c r="K472" s="373" t="str">
        <f>IF(O472="Zauberspruch",L472,O472)</f>
        <v>Erschaffen</v>
      </c>
      <c r="L472" s="373" t="s">
        <v>145</v>
      </c>
      <c r="M472" s="374" t="s">
        <v>329</v>
      </c>
      <c r="N472" s="374" t="s">
        <v>309</v>
      </c>
      <c r="O472" s="373" t="s">
        <v>166</v>
      </c>
      <c r="P472" s="368" t="s">
        <v>656</v>
      </c>
      <c r="Q472" s="367" t="s">
        <v>748</v>
      </c>
      <c r="R472" s="367">
        <v>118</v>
      </c>
    </row>
    <row r="473" spans="1:18" ht="20.100000000000001" customHeight="1" x14ac:dyDescent="0.2">
      <c r="A473" s="377" t="s">
        <v>1574</v>
      </c>
      <c r="B473" s="371" t="s">
        <v>219</v>
      </c>
      <c r="C473" s="371">
        <v>5</v>
      </c>
      <c r="D473" s="372">
        <v>3</v>
      </c>
      <c r="E473" s="371" t="s">
        <v>304</v>
      </c>
      <c r="F473" s="371" t="s">
        <v>332</v>
      </c>
      <c r="G473" s="371" t="s">
        <v>217</v>
      </c>
      <c r="H473" s="371" t="s">
        <v>797</v>
      </c>
      <c r="I473" s="371" t="s">
        <v>347</v>
      </c>
      <c r="J473" s="371" t="s">
        <v>313</v>
      </c>
      <c r="K473" s="373" t="str">
        <f>IF(O473="Zauberspruch",L473,O473)</f>
        <v>Zaubersiegel</v>
      </c>
      <c r="L473" s="373" t="s">
        <v>145</v>
      </c>
      <c r="M473" s="374" t="s">
        <v>329</v>
      </c>
      <c r="N473" s="374" t="s">
        <v>309</v>
      </c>
      <c r="O473" s="404" t="s">
        <v>1322</v>
      </c>
      <c r="P473" s="368" t="s">
        <v>1506</v>
      </c>
      <c r="Q473" s="367" t="s">
        <v>1321</v>
      </c>
      <c r="R473" s="367">
        <v>61</v>
      </c>
    </row>
    <row r="474" spans="1:18" ht="20.100000000000001" customHeight="1" x14ac:dyDescent="0.2">
      <c r="A474" s="377" t="s">
        <v>657</v>
      </c>
      <c r="B474" s="371" t="s">
        <v>220</v>
      </c>
      <c r="C474" s="371">
        <v>6</v>
      </c>
      <c r="D474" s="372">
        <v>3</v>
      </c>
      <c r="E474" s="371" t="s">
        <v>311</v>
      </c>
      <c r="F474" s="371" t="s">
        <v>25</v>
      </c>
      <c r="G474" s="371" t="s">
        <v>217</v>
      </c>
      <c r="H474" s="371" t="s">
        <v>774</v>
      </c>
      <c r="I474" s="371" t="s">
        <v>318</v>
      </c>
      <c r="J474" s="371" t="s">
        <v>313</v>
      </c>
      <c r="K474" s="373" t="str">
        <f>IF(O474="Zauberspruch",L474,O474)</f>
        <v>Formen</v>
      </c>
      <c r="L474" s="373" t="s">
        <v>148</v>
      </c>
      <c r="M474" s="374" t="s">
        <v>329</v>
      </c>
      <c r="N474" s="374" t="s">
        <v>302</v>
      </c>
      <c r="O474" s="373" t="s">
        <v>166</v>
      </c>
      <c r="P474" s="368" t="s">
        <v>1205</v>
      </c>
      <c r="Q474" s="367" t="s">
        <v>748</v>
      </c>
      <c r="R474" s="367">
        <v>119</v>
      </c>
    </row>
    <row r="475" spans="1:18" ht="20.100000000000001" customHeight="1" x14ac:dyDescent="0.2">
      <c r="A475" s="377" t="s">
        <v>1781</v>
      </c>
      <c r="B475" s="371" t="s">
        <v>220</v>
      </c>
      <c r="C475" s="371">
        <v>9</v>
      </c>
      <c r="D475" s="372">
        <v>6</v>
      </c>
      <c r="E475" s="371" t="s">
        <v>306</v>
      </c>
      <c r="F475" s="372" t="s">
        <v>25</v>
      </c>
      <c r="G475" s="371" t="s">
        <v>216</v>
      </c>
      <c r="H475" s="371" t="s">
        <v>770</v>
      </c>
      <c r="I475" s="371" t="s">
        <v>397</v>
      </c>
      <c r="J475" s="388" t="s">
        <v>313</v>
      </c>
      <c r="K475" s="373" t="str">
        <f>IF(O475="Zauberspruch",L475,O475)</f>
        <v>Thaumatherapie</v>
      </c>
      <c r="L475" s="376" t="s">
        <v>138</v>
      </c>
      <c r="M475" s="376" t="s">
        <v>329</v>
      </c>
      <c r="N475" s="376" t="s">
        <v>302</v>
      </c>
      <c r="O475" s="404" t="s">
        <v>1340</v>
      </c>
      <c r="P475" s="376" t="s">
        <v>75</v>
      </c>
      <c r="Q475" s="367" t="s">
        <v>1797</v>
      </c>
      <c r="R475" s="367">
        <v>8</v>
      </c>
    </row>
    <row r="476" spans="1:18" ht="20.100000000000001" customHeight="1" x14ac:dyDescent="0.2">
      <c r="A476" s="377" t="s">
        <v>658</v>
      </c>
      <c r="B476" s="371" t="s">
        <v>219</v>
      </c>
      <c r="C476" s="371">
        <v>11</v>
      </c>
      <c r="D476" s="372" t="s">
        <v>765</v>
      </c>
      <c r="E476" s="371" t="s">
        <v>354</v>
      </c>
      <c r="F476" s="371" t="s">
        <v>305</v>
      </c>
      <c r="G476" s="371" t="s">
        <v>216</v>
      </c>
      <c r="H476" s="371" t="s">
        <v>770</v>
      </c>
      <c r="I476" s="371">
        <v>0</v>
      </c>
      <c r="J476" s="371" t="s">
        <v>313</v>
      </c>
      <c r="K476" s="373" t="str">
        <f>IF(O476="Zauberspruch",L476,O476)</f>
        <v>Zerstören</v>
      </c>
      <c r="L476" s="373" t="s">
        <v>141</v>
      </c>
      <c r="M476" s="374" t="s">
        <v>329</v>
      </c>
      <c r="N476" s="374" t="s">
        <v>301</v>
      </c>
      <c r="O476" s="373" t="s">
        <v>166</v>
      </c>
      <c r="P476" s="368" t="s">
        <v>75</v>
      </c>
      <c r="Q476" s="367" t="s">
        <v>748</v>
      </c>
      <c r="R476" s="367">
        <v>119</v>
      </c>
    </row>
    <row r="477" spans="1:18" ht="20.100000000000001" customHeight="1" x14ac:dyDescent="0.2">
      <c r="A477" s="377" t="s">
        <v>1769</v>
      </c>
      <c r="B477" s="371" t="s">
        <v>220</v>
      </c>
      <c r="C477" s="371">
        <v>12</v>
      </c>
      <c r="D477" s="371">
        <v>12</v>
      </c>
      <c r="E477" s="371" t="s">
        <v>1818</v>
      </c>
      <c r="F477" s="371" t="s">
        <v>335</v>
      </c>
      <c r="G477" s="371" t="s">
        <v>217</v>
      </c>
      <c r="H477" s="371" t="s">
        <v>1788</v>
      </c>
      <c r="I477" s="371" t="s">
        <v>348</v>
      </c>
      <c r="J477" s="371" t="s">
        <v>313</v>
      </c>
      <c r="K477" s="373" t="str">
        <f>IF(O477="Zauberspruch",L477,O477)</f>
        <v>Formen</v>
      </c>
      <c r="L477" s="373" t="s">
        <v>148</v>
      </c>
      <c r="M477" s="373" t="s">
        <v>322</v>
      </c>
      <c r="N477" s="373" t="s">
        <v>319</v>
      </c>
      <c r="O477" s="373" t="s">
        <v>166</v>
      </c>
      <c r="P477" s="376" t="s">
        <v>1865</v>
      </c>
      <c r="Q477" s="367" t="s">
        <v>1872</v>
      </c>
      <c r="R477" s="367">
        <v>13</v>
      </c>
    </row>
    <row r="478" spans="1:18" ht="20.100000000000001" customHeight="1" x14ac:dyDescent="0.2">
      <c r="A478" s="377" t="s">
        <v>1785</v>
      </c>
      <c r="B478" s="371" t="s">
        <v>219</v>
      </c>
      <c r="C478" s="371">
        <v>12</v>
      </c>
      <c r="D478" s="371">
        <v>12</v>
      </c>
      <c r="E478" s="371" t="s">
        <v>304</v>
      </c>
      <c r="F478" s="372" t="s">
        <v>335</v>
      </c>
      <c r="G478" s="371" t="s">
        <v>217</v>
      </c>
      <c r="H478" s="371" t="s">
        <v>1788</v>
      </c>
      <c r="I478" s="371" t="s">
        <v>348</v>
      </c>
      <c r="J478" s="371" t="s">
        <v>313</v>
      </c>
      <c r="K478" s="373" t="str">
        <f>IF(O478="Zauberspruch",L478,O478)</f>
        <v>Zaubersiegel</v>
      </c>
      <c r="L478" s="373" t="s">
        <v>148</v>
      </c>
      <c r="M478" s="373" t="s">
        <v>322</v>
      </c>
      <c r="N478" s="373" t="s">
        <v>319</v>
      </c>
      <c r="O478" s="404" t="s">
        <v>1322</v>
      </c>
      <c r="P478" s="376" t="s">
        <v>1865</v>
      </c>
      <c r="Q478" s="367" t="s">
        <v>1797</v>
      </c>
      <c r="R478" s="367">
        <v>5</v>
      </c>
    </row>
    <row r="479" spans="1:18" ht="20.100000000000001" customHeight="1" x14ac:dyDescent="0.2">
      <c r="A479" s="377" t="s">
        <v>659</v>
      </c>
      <c r="B479" s="371" t="s">
        <v>220</v>
      </c>
      <c r="C479" s="371">
        <v>8</v>
      </c>
      <c r="D479" s="372">
        <v>4</v>
      </c>
      <c r="E479" s="371" t="s">
        <v>306</v>
      </c>
      <c r="F479" s="371" t="s">
        <v>25</v>
      </c>
      <c r="G479" s="371" t="s">
        <v>217</v>
      </c>
      <c r="H479" s="371" t="s">
        <v>536</v>
      </c>
      <c r="I479" s="371" t="s">
        <v>347</v>
      </c>
      <c r="J479" s="371" t="s">
        <v>328</v>
      </c>
      <c r="K479" s="373" t="str">
        <f>IF(O479="Zauberspruch",L479,O479)</f>
        <v>Formen</v>
      </c>
      <c r="L479" s="373" t="s">
        <v>148</v>
      </c>
      <c r="M479" s="374" t="s">
        <v>322</v>
      </c>
      <c r="N479" s="374" t="s">
        <v>301</v>
      </c>
      <c r="O479" s="373" t="s">
        <v>166</v>
      </c>
      <c r="P479" s="368" t="s">
        <v>75</v>
      </c>
      <c r="Q479" s="367" t="s">
        <v>748</v>
      </c>
      <c r="R479" s="367">
        <v>119</v>
      </c>
    </row>
    <row r="480" spans="1:18" ht="20.100000000000001" customHeight="1" x14ac:dyDescent="0.2">
      <c r="A480" s="377" t="s">
        <v>1575</v>
      </c>
      <c r="B480" s="371" t="s">
        <v>219</v>
      </c>
      <c r="C480" s="371">
        <v>8</v>
      </c>
      <c r="D480" s="372">
        <v>4</v>
      </c>
      <c r="E480" s="371" t="s">
        <v>304</v>
      </c>
      <c r="F480" s="371" t="s">
        <v>25</v>
      </c>
      <c r="G480" s="371" t="s">
        <v>217</v>
      </c>
      <c r="H480" s="371" t="s">
        <v>536</v>
      </c>
      <c r="I480" s="371" t="s">
        <v>1576</v>
      </c>
      <c r="J480" s="371" t="s">
        <v>328</v>
      </c>
      <c r="K480" s="373" t="str">
        <f>IF(O480="Zauberspruch",L480,O480)</f>
        <v>Zaubersiegel</v>
      </c>
      <c r="L480" s="373" t="s">
        <v>148</v>
      </c>
      <c r="M480" s="374" t="s">
        <v>322</v>
      </c>
      <c r="N480" s="374" t="s">
        <v>301</v>
      </c>
      <c r="O480" s="404" t="s">
        <v>1322</v>
      </c>
      <c r="P480" s="368" t="s">
        <v>1577</v>
      </c>
      <c r="Q480" s="367" t="s">
        <v>1321</v>
      </c>
      <c r="R480" s="367">
        <v>61</v>
      </c>
    </row>
    <row r="481" spans="1:18" ht="20.100000000000001" customHeight="1" x14ac:dyDescent="0.2">
      <c r="A481" s="377" t="s">
        <v>1636</v>
      </c>
      <c r="B481" s="371" t="s">
        <v>220</v>
      </c>
      <c r="C481" s="371">
        <v>5</v>
      </c>
      <c r="D481" s="372">
        <v>3</v>
      </c>
      <c r="E481" s="371" t="s">
        <v>299</v>
      </c>
      <c r="F481" s="371" t="s">
        <v>75</v>
      </c>
      <c r="G481" s="371" t="s">
        <v>216</v>
      </c>
      <c r="H481" s="371" t="s">
        <v>770</v>
      </c>
      <c r="I481" s="371" t="s">
        <v>306</v>
      </c>
      <c r="J481" s="371" t="s">
        <v>300</v>
      </c>
      <c r="K481" s="373" t="str">
        <f>IF(O481="Zauberspruch",L481,O481)</f>
        <v>Zauberrune</v>
      </c>
      <c r="L481" s="373" t="s">
        <v>137</v>
      </c>
      <c r="M481" s="374" t="s">
        <v>314</v>
      </c>
      <c r="N481" s="374" t="s">
        <v>329</v>
      </c>
      <c r="O481" s="404" t="s">
        <v>1601</v>
      </c>
      <c r="P481" s="368" t="s">
        <v>1739</v>
      </c>
      <c r="Q481" s="367" t="s">
        <v>1321</v>
      </c>
      <c r="R481" s="367">
        <v>78</v>
      </c>
    </row>
    <row r="482" spans="1:18" ht="20.100000000000001" customHeight="1" x14ac:dyDescent="0.2">
      <c r="A482" s="377" t="s">
        <v>1425</v>
      </c>
      <c r="B482" s="371" t="s">
        <v>220</v>
      </c>
      <c r="C482" s="371">
        <v>5</v>
      </c>
      <c r="D482" s="372">
        <v>3</v>
      </c>
      <c r="E482" s="371" t="s">
        <v>306</v>
      </c>
      <c r="F482" s="371" t="s">
        <v>25</v>
      </c>
      <c r="G482" s="371" t="s">
        <v>216</v>
      </c>
      <c r="H482" s="371" t="s">
        <v>770</v>
      </c>
      <c r="I482" s="371" t="s">
        <v>397</v>
      </c>
      <c r="J482" s="371" t="s">
        <v>313</v>
      </c>
      <c r="K482" s="373" t="str">
        <f>IF(O482="Zauberspruch",L482,O482)</f>
        <v>Thaumatherapie</v>
      </c>
      <c r="L482" s="373" t="s">
        <v>140</v>
      </c>
      <c r="M482" s="374" t="s">
        <v>322</v>
      </c>
      <c r="N482" s="374" t="s">
        <v>308</v>
      </c>
      <c r="O482" s="404" t="s">
        <v>1340</v>
      </c>
      <c r="P482" s="368" t="s">
        <v>75</v>
      </c>
      <c r="Q482" s="367" t="s">
        <v>1321</v>
      </c>
      <c r="R482" s="367">
        <v>88</v>
      </c>
    </row>
    <row r="483" spans="1:18" ht="20.100000000000001" customHeight="1" x14ac:dyDescent="0.2">
      <c r="A483" s="377" t="s">
        <v>1465</v>
      </c>
      <c r="B483" s="371" t="s">
        <v>218</v>
      </c>
      <c r="C483" s="371">
        <v>1</v>
      </c>
      <c r="D483" s="372">
        <v>1</v>
      </c>
      <c r="E483" s="371" t="s">
        <v>304</v>
      </c>
      <c r="F483" s="371" t="s">
        <v>472</v>
      </c>
      <c r="G483" s="371" t="s">
        <v>217</v>
      </c>
      <c r="H483" s="371" t="s">
        <v>1461</v>
      </c>
      <c r="I483" s="371" t="s">
        <v>338</v>
      </c>
      <c r="J483" s="371" t="s">
        <v>313</v>
      </c>
      <c r="K483" s="373" t="str">
        <f>IF(O483="Zauberspruch",L483,O483)</f>
        <v>Zaubersalz</v>
      </c>
      <c r="L483" s="373" t="s">
        <v>148</v>
      </c>
      <c r="M483" s="374" t="s">
        <v>322</v>
      </c>
      <c r="N483" s="374" t="s">
        <v>314</v>
      </c>
      <c r="O483" s="404" t="s">
        <v>1439</v>
      </c>
      <c r="P483" s="368" t="s">
        <v>1706</v>
      </c>
      <c r="Q483" s="367" t="s">
        <v>1321</v>
      </c>
      <c r="R483" s="367">
        <v>50</v>
      </c>
    </row>
    <row r="484" spans="1:18" ht="20.100000000000001" customHeight="1" x14ac:dyDescent="0.2">
      <c r="A484" s="377" t="s">
        <v>1637</v>
      </c>
      <c r="B484" s="371" t="s">
        <v>220</v>
      </c>
      <c r="C484" s="371">
        <v>6</v>
      </c>
      <c r="D484" s="372">
        <v>3</v>
      </c>
      <c r="E484" s="371" t="s">
        <v>299</v>
      </c>
      <c r="F484" s="371" t="s">
        <v>75</v>
      </c>
      <c r="G484" s="371" t="s">
        <v>215</v>
      </c>
      <c r="H484" s="371" t="s">
        <v>791</v>
      </c>
      <c r="I484" s="371">
        <v>0</v>
      </c>
      <c r="J484" s="371" t="s">
        <v>300</v>
      </c>
      <c r="K484" s="373" t="str">
        <f>IF(O484="Zauberspruch",L484,O484)</f>
        <v>Zauberrune</v>
      </c>
      <c r="L484" s="373" t="s">
        <v>143</v>
      </c>
      <c r="M484" s="374" t="s">
        <v>314</v>
      </c>
      <c r="N484" s="374" t="s">
        <v>314</v>
      </c>
      <c r="O484" s="404" t="s">
        <v>1601</v>
      </c>
      <c r="P484" s="368" t="s">
        <v>1740</v>
      </c>
      <c r="Q484" s="367" t="s">
        <v>1321</v>
      </c>
      <c r="R484" s="367">
        <v>79</v>
      </c>
    </row>
    <row r="485" spans="1:18" ht="20.100000000000001" customHeight="1" x14ac:dyDescent="0.2">
      <c r="A485" s="377" t="s">
        <v>1638</v>
      </c>
      <c r="B485" s="371" t="s">
        <v>220</v>
      </c>
      <c r="C485" s="371">
        <v>6</v>
      </c>
      <c r="D485" s="372" t="s">
        <v>1647</v>
      </c>
      <c r="E485" s="371" t="s">
        <v>299</v>
      </c>
      <c r="F485" s="371" t="s">
        <v>75</v>
      </c>
      <c r="G485" s="371" t="s">
        <v>215</v>
      </c>
      <c r="H485" s="371" t="s">
        <v>1648</v>
      </c>
      <c r="I485" s="371">
        <v>0</v>
      </c>
      <c r="J485" s="371" t="s">
        <v>300</v>
      </c>
      <c r="K485" s="373" t="str">
        <f>IF(O485="Zauberspruch",L485,O485)</f>
        <v>Zauberrune</v>
      </c>
      <c r="L485" s="373" t="s">
        <v>145</v>
      </c>
      <c r="M485" s="374" t="s">
        <v>309</v>
      </c>
      <c r="N485" s="374" t="s">
        <v>314</v>
      </c>
      <c r="O485" s="404" t="s">
        <v>1601</v>
      </c>
      <c r="P485" s="368" t="s">
        <v>1741</v>
      </c>
      <c r="Q485" s="367" t="s">
        <v>1321</v>
      </c>
      <c r="R485" s="367">
        <v>79</v>
      </c>
    </row>
    <row r="486" spans="1:18" ht="20.100000000000001" customHeight="1" x14ac:dyDescent="0.2">
      <c r="A486" s="377" t="s">
        <v>660</v>
      </c>
      <c r="B486" s="371" t="s">
        <v>220</v>
      </c>
      <c r="C486" s="371">
        <v>9</v>
      </c>
      <c r="D486" s="372" t="s">
        <v>766</v>
      </c>
      <c r="E486" s="371" t="s">
        <v>324</v>
      </c>
      <c r="F486" s="371" t="s">
        <v>75</v>
      </c>
      <c r="G486" s="371" t="s">
        <v>217</v>
      </c>
      <c r="H486" s="371" t="s">
        <v>791</v>
      </c>
      <c r="I486" s="371" t="s">
        <v>318</v>
      </c>
      <c r="J486" s="371" t="s">
        <v>313</v>
      </c>
      <c r="K486" s="373" t="str">
        <f>IF(O486="Zauberspruch",L486,O486)</f>
        <v>Erschaffen</v>
      </c>
      <c r="L486" s="373" t="s">
        <v>145</v>
      </c>
      <c r="M486" s="374" t="s">
        <v>319</v>
      </c>
      <c r="N486" s="374" t="s">
        <v>322</v>
      </c>
      <c r="O486" s="373" t="s">
        <v>166</v>
      </c>
      <c r="P486" s="368" t="s">
        <v>661</v>
      </c>
      <c r="Q486" s="367" t="s">
        <v>748</v>
      </c>
      <c r="R486" s="367">
        <v>119</v>
      </c>
    </row>
    <row r="487" spans="1:18" ht="20.100000000000001" customHeight="1" x14ac:dyDescent="0.2">
      <c r="A487" s="377" t="s">
        <v>1578</v>
      </c>
      <c r="B487" s="371" t="s">
        <v>219</v>
      </c>
      <c r="C487" s="371">
        <v>9</v>
      </c>
      <c r="D487" s="372" t="s">
        <v>766</v>
      </c>
      <c r="E487" s="371" t="s">
        <v>304</v>
      </c>
      <c r="F487" s="371" t="s">
        <v>321</v>
      </c>
      <c r="G487" s="371" t="s">
        <v>217</v>
      </c>
      <c r="H487" s="371" t="s">
        <v>75</v>
      </c>
      <c r="I487" s="371" t="s">
        <v>318</v>
      </c>
      <c r="J487" s="371" t="s">
        <v>313</v>
      </c>
      <c r="K487" s="373" t="str">
        <f>IF(O487="Zauberspruch",L487,O487)</f>
        <v>Zaubersiegel</v>
      </c>
      <c r="L487" s="373" t="s">
        <v>145</v>
      </c>
      <c r="M487" s="374" t="s">
        <v>319</v>
      </c>
      <c r="N487" s="374" t="s">
        <v>322</v>
      </c>
      <c r="O487" s="404" t="s">
        <v>1322</v>
      </c>
      <c r="P487" s="368" t="s">
        <v>1506</v>
      </c>
      <c r="Q487" s="367" t="s">
        <v>1321</v>
      </c>
      <c r="R487" s="367">
        <v>61</v>
      </c>
    </row>
    <row r="488" spans="1:18" ht="20.100000000000001" customHeight="1" x14ac:dyDescent="0.2">
      <c r="A488" s="377" t="s">
        <v>1819</v>
      </c>
      <c r="B488" s="371" t="s">
        <v>219</v>
      </c>
      <c r="C488" s="371">
        <v>4</v>
      </c>
      <c r="D488" s="371">
        <v>2</v>
      </c>
      <c r="E488" s="371" t="s">
        <v>311</v>
      </c>
      <c r="F488" s="371" t="s">
        <v>518</v>
      </c>
      <c r="G488" s="371" t="s">
        <v>215</v>
      </c>
      <c r="H488" s="371" t="s">
        <v>770</v>
      </c>
      <c r="I488" s="371" t="s">
        <v>306</v>
      </c>
      <c r="J488" s="371" t="s">
        <v>370</v>
      </c>
      <c r="K488" s="373" t="str">
        <f>IF(O488="Zauberspruch",L488,O488)</f>
        <v>Beherrschen</v>
      </c>
      <c r="L488" s="373" t="s">
        <v>137</v>
      </c>
      <c r="M488" s="373" t="s">
        <v>322</v>
      </c>
      <c r="N488" s="373" t="s">
        <v>322</v>
      </c>
      <c r="O488" s="373" t="s">
        <v>166</v>
      </c>
      <c r="P488" s="376" t="s">
        <v>75</v>
      </c>
      <c r="Q488" s="367" t="s">
        <v>1872</v>
      </c>
      <c r="R488" s="367">
        <v>13</v>
      </c>
    </row>
    <row r="489" spans="1:18" ht="20.100000000000001" customHeight="1" x14ac:dyDescent="0.2">
      <c r="A489" s="377" t="s">
        <v>1639</v>
      </c>
      <c r="B489" s="371" t="s">
        <v>220</v>
      </c>
      <c r="C489" s="371">
        <v>5</v>
      </c>
      <c r="D489" s="372">
        <v>4</v>
      </c>
      <c r="E489" s="371" t="s">
        <v>306</v>
      </c>
      <c r="F489" s="371" t="s">
        <v>75</v>
      </c>
      <c r="G489" s="371" t="s">
        <v>215</v>
      </c>
      <c r="H489" s="371" t="s">
        <v>777</v>
      </c>
      <c r="I489" s="371" t="s">
        <v>383</v>
      </c>
      <c r="J489" s="371" t="s">
        <v>300</v>
      </c>
      <c r="K489" s="373" t="str">
        <f>IF(O489="Zauberspruch",L489,O489)</f>
        <v>Zauberrune</v>
      </c>
      <c r="L489" s="373" t="s">
        <v>137</v>
      </c>
      <c r="M489" s="374" t="s">
        <v>314</v>
      </c>
      <c r="N489" s="374" t="s">
        <v>302</v>
      </c>
      <c r="O489" s="404" t="s">
        <v>1601</v>
      </c>
      <c r="P489" s="368" t="s">
        <v>1742</v>
      </c>
      <c r="Q489" s="367" t="s">
        <v>1321</v>
      </c>
      <c r="R489" s="367">
        <v>79</v>
      </c>
    </row>
    <row r="490" spans="1:18" ht="20.100000000000001" customHeight="1" x14ac:dyDescent="0.2">
      <c r="A490" s="377" t="s">
        <v>662</v>
      </c>
      <c r="B490" s="371" t="s">
        <v>219</v>
      </c>
      <c r="C490" s="371">
        <v>4</v>
      </c>
      <c r="D490" s="372">
        <v>2</v>
      </c>
      <c r="E490" s="371" t="s">
        <v>324</v>
      </c>
      <c r="F490" s="371" t="s">
        <v>332</v>
      </c>
      <c r="G490" s="371" t="s">
        <v>215</v>
      </c>
      <c r="H490" s="371" t="s">
        <v>663</v>
      </c>
      <c r="I490" s="371" t="s">
        <v>318</v>
      </c>
      <c r="J490" s="371" t="s">
        <v>313</v>
      </c>
      <c r="K490" s="373" t="str">
        <f>IF(O490="Zauberspruch",L490,O490)</f>
        <v>Beherrschen</v>
      </c>
      <c r="L490" s="373" t="s">
        <v>137</v>
      </c>
      <c r="M490" s="374" t="s">
        <v>322</v>
      </c>
      <c r="N490" s="374" t="s">
        <v>309</v>
      </c>
      <c r="O490" s="373" t="s">
        <v>166</v>
      </c>
      <c r="P490" s="368" t="s">
        <v>75</v>
      </c>
      <c r="Q490" s="367" t="s">
        <v>748</v>
      </c>
      <c r="R490" s="367">
        <v>120</v>
      </c>
    </row>
    <row r="491" spans="1:18" ht="20.100000000000001" customHeight="1" x14ac:dyDescent="0.2">
      <c r="A491" s="377" t="s">
        <v>1640</v>
      </c>
      <c r="B491" s="371" t="s">
        <v>220</v>
      </c>
      <c r="C491" s="371">
        <v>4</v>
      </c>
      <c r="D491" s="372">
        <v>2</v>
      </c>
      <c r="E491" s="371" t="s">
        <v>299</v>
      </c>
      <c r="F491" s="371" t="s">
        <v>75</v>
      </c>
      <c r="G491" s="371" t="s">
        <v>216</v>
      </c>
      <c r="H491" s="371" t="s">
        <v>770</v>
      </c>
      <c r="I491" s="371" t="s">
        <v>1616</v>
      </c>
      <c r="J491" s="371" t="s">
        <v>300</v>
      </c>
      <c r="K491" s="373" t="str">
        <f>IF(O491="Zauberspruch",L491,O491)</f>
        <v>Zauberrune</v>
      </c>
      <c r="L491" s="373" t="s">
        <v>141</v>
      </c>
      <c r="M491" s="374" t="s">
        <v>329</v>
      </c>
      <c r="N491" s="374" t="s">
        <v>302</v>
      </c>
      <c r="O491" s="404" t="s">
        <v>1601</v>
      </c>
      <c r="P491" s="368" t="s">
        <v>1743</v>
      </c>
      <c r="Q491" s="367" t="s">
        <v>1321</v>
      </c>
      <c r="R491" s="367">
        <v>79</v>
      </c>
    </row>
    <row r="492" spans="1:18" ht="20.100000000000001" customHeight="1" x14ac:dyDescent="0.2">
      <c r="A492" s="377" t="s">
        <v>664</v>
      </c>
      <c r="B492" s="371" t="s">
        <v>219</v>
      </c>
      <c r="C492" s="371">
        <v>4</v>
      </c>
      <c r="D492" s="372">
        <v>4</v>
      </c>
      <c r="E492" s="371" t="s">
        <v>311</v>
      </c>
      <c r="F492" s="371" t="s">
        <v>75</v>
      </c>
      <c r="G492" s="371" t="s">
        <v>216</v>
      </c>
      <c r="H492" s="371" t="s">
        <v>791</v>
      </c>
      <c r="I492" s="371" t="s">
        <v>439</v>
      </c>
      <c r="J492" s="371" t="s">
        <v>313</v>
      </c>
      <c r="K492" s="373" t="str">
        <f>IF(O492="Zauberspruch",L492,O492)</f>
        <v>Verändern</v>
      </c>
      <c r="L492" s="373" t="s">
        <v>138</v>
      </c>
      <c r="M492" s="374" t="s">
        <v>314</v>
      </c>
      <c r="N492" s="374" t="s">
        <v>319</v>
      </c>
      <c r="O492" s="373" t="s">
        <v>166</v>
      </c>
      <c r="P492" s="368" t="s">
        <v>75</v>
      </c>
      <c r="Q492" s="367" t="s">
        <v>748</v>
      </c>
      <c r="R492" s="367">
        <v>120</v>
      </c>
    </row>
    <row r="493" spans="1:18" ht="20.100000000000001" customHeight="1" x14ac:dyDescent="0.2">
      <c r="A493" s="377" t="s">
        <v>1579</v>
      </c>
      <c r="B493" s="371" t="s">
        <v>219</v>
      </c>
      <c r="C493" s="371">
        <v>4</v>
      </c>
      <c r="D493" s="372">
        <v>4</v>
      </c>
      <c r="E493" s="371" t="s">
        <v>304</v>
      </c>
      <c r="F493" s="371" t="s">
        <v>75</v>
      </c>
      <c r="G493" s="371" t="s">
        <v>216</v>
      </c>
      <c r="H493" s="371" t="s">
        <v>770</v>
      </c>
      <c r="I493" s="371" t="s">
        <v>439</v>
      </c>
      <c r="J493" s="371" t="s">
        <v>313</v>
      </c>
      <c r="K493" s="373" t="str">
        <f>IF(O493="Zauberspruch",L493,O493)</f>
        <v>Zaubersiegel</v>
      </c>
      <c r="L493" s="373" t="s">
        <v>138</v>
      </c>
      <c r="M493" s="374" t="s">
        <v>314</v>
      </c>
      <c r="N493" s="374" t="s">
        <v>319</v>
      </c>
      <c r="O493" s="404" t="s">
        <v>1322</v>
      </c>
      <c r="P493" s="368" t="s">
        <v>1580</v>
      </c>
      <c r="Q493" s="367" t="s">
        <v>1321</v>
      </c>
      <c r="R493" s="367">
        <v>61</v>
      </c>
    </row>
    <row r="494" spans="1:18" ht="20.100000000000001" customHeight="1" x14ac:dyDescent="0.2">
      <c r="A494" s="377" t="s">
        <v>1426</v>
      </c>
      <c r="B494" s="371" t="s">
        <v>220</v>
      </c>
      <c r="C494" s="371">
        <v>3</v>
      </c>
      <c r="D494" s="372">
        <v>1</v>
      </c>
      <c r="E494" s="371" t="s">
        <v>306</v>
      </c>
      <c r="F494" s="371" t="s">
        <v>25</v>
      </c>
      <c r="G494" s="371" t="s">
        <v>216</v>
      </c>
      <c r="H494" s="371" t="s">
        <v>770</v>
      </c>
      <c r="I494" s="371">
        <v>0</v>
      </c>
      <c r="J494" s="371" t="s">
        <v>307</v>
      </c>
      <c r="K494" s="373" t="str">
        <f>IF(O494="Zauberspruch",L494,O494)</f>
        <v>Thaumatherapie</v>
      </c>
      <c r="L494" s="373" t="s">
        <v>143</v>
      </c>
      <c r="M494" s="374" t="s">
        <v>301</v>
      </c>
      <c r="N494" s="374" t="s">
        <v>329</v>
      </c>
      <c r="O494" s="404" t="s">
        <v>1340</v>
      </c>
      <c r="P494" s="368" t="s">
        <v>75</v>
      </c>
      <c r="Q494" s="367" t="s">
        <v>1321</v>
      </c>
      <c r="R494" s="367">
        <v>88</v>
      </c>
    </row>
    <row r="495" spans="1:18" ht="20.100000000000001" customHeight="1" x14ac:dyDescent="0.2">
      <c r="A495" s="377" t="s">
        <v>1833</v>
      </c>
      <c r="B495" s="371" t="s">
        <v>219</v>
      </c>
      <c r="C495" s="371">
        <v>7</v>
      </c>
      <c r="D495" s="371">
        <v>6</v>
      </c>
      <c r="E495" s="371" t="s">
        <v>311</v>
      </c>
      <c r="F495" s="371" t="s">
        <v>332</v>
      </c>
      <c r="G495" s="371" t="s">
        <v>216</v>
      </c>
      <c r="H495" s="371" t="s">
        <v>768</v>
      </c>
      <c r="I495" s="371" t="s">
        <v>397</v>
      </c>
      <c r="J495" s="371" t="s">
        <v>370</v>
      </c>
      <c r="K495" s="373" t="str">
        <f>IF(O495="Zauberspruch",L495,O495)</f>
        <v>Wundertat</v>
      </c>
      <c r="L495" s="373" t="s">
        <v>141</v>
      </c>
      <c r="M495" s="373" t="s">
        <v>322</v>
      </c>
      <c r="N495" s="373" t="s">
        <v>319</v>
      </c>
      <c r="O495" s="376" t="s">
        <v>1183</v>
      </c>
      <c r="P495" s="376" t="s">
        <v>75</v>
      </c>
      <c r="Q495" s="367" t="s">
        <v>1872</v>
      </c>
      <c r="R495" s="367">
        <v>18</v>
      </c>
    </row>
    <row r="496" spans="1:18" ht="20.100000000000001" customHeight="1" x14ac:dyDescent="0.2">
      <c r="A496" s="377" t="s">
        <v>665</v>
      </c>
      <c r="B496" s="371" t="s">
        <v>220</v>
      </c>
      <c r="C496" s="371">
        <v>6</v>
      </c>
      <c r="D496" s="372">
        <v>5</v>
      </c>
      <c r="E496" s="371" t="s">
        <v>311</v>
      </c>
      <c r="F496" s="371" t="s">
        <v>25</v>
      </c>
      <c r="G496" s="371" t="s">
        <v>216</v>
      </c>
      <c r="H496" s="371" t="s">
        <v>770</v>
      </c>
      <c r="I496" s="371" t="s">
        <v>369</v>
      </c>
      <c r="J496" s="371" t="s">
        <v>370</v>
      </c>
      <c r="K496" s="373" t="str">
        <f>IF(O496="Zauberspruch",L496,O496)</f>
        <v>Verändern</v>
      </c>
      <c r="L496" s="373" t="s">
        <v>138</v>
      </c>
      <c r="M496" s="374" t="s">
        <v>329</v>
      </c>
      <c r="N496" s="374" t="s">
        <v>302</v>
      </c>
      <c r="O496" s="373" t="s">
        <v>166</v>
      </c>
      <c r="P496" s="368" t="s">
        <v>75</v>
      </c>
      <c r="Q496" s="367" t="s">
        <v>748</v>
      </c>
      <c r="R496" s="367">
        <v>120</v>
      </c>
    </row>
    <row r="497" spans="1:18" ht="20.100000000000001" customHeight="1" x14ac:dyDescent="0.2">
      <c r="A497" s="377" t="s">
        <v>666</v>
      </c>
      <c r="B497" s="371" t="s">
        <v>220</v>
      </c>
      <c r="C497" s="371">
        <v>9</v>
      </c>
      <c r="D497" s="372">
        <v>7</v>
      </c>
      <c r="E497" s="371" t="s">
        <v>311</v>
      </c>
      <c r="F497" s="371" t="s">
        <v>25</v>
      </c>
      <c r="G497" s="371" t="s">
        <v>216</v>
      </c>
      <c r="H497" s="371" t="s">
        <v>770</v>
      </c>
      <c r="I497" s="371" t="s">
        <v>369</v>
      </c>
      <c r="J497" s="371" t="s">
        <v>313</v>
      </c>
      <c r="K497" s="373" t="str">
        <f>IF(O497="Zauberspruch",L497,O497)</f>
        <v>Verändern</v>
      </c>
      <c r="L497" s="373" t="s">
        <v>138</v>
      </c>
      <c r="M497" s="374" t="s">
        <v>329</v>
      </c>
      <c r="N497" s="374" t="s">
        <v>302</v>
      </c>
      <c r="O497" s="373" t="s">
        <v>166</v>
      </c>
      <c r="P497" s="368" t="s">
        <v>75</v>
      </c>
      <c r="Q497" s="367" t="s">
        <v>748</v>
      </c>
      <c r="R497" s="367">
        <v>121</v>
      </c>
    </row>
    <row r="498" spans="1:18" ht="20.100000000000001" customHeight="1" x14ac:dyDescent="0.2">
      <c r="A498" s="377" t="s">
        <v>1490</v>
      </c>
      <c r="B498" s="371" t="s">
        <v>220</v>
      </c>
      <c r="C498" s="371">
        <v>9</v>
      </c>
      <c r="D498" s="372">
        <v>7</v>
      </c>
      <c r="E498" s="371" t="s">
        <v>304</v>
      </c>
      <c r="F498" s="371" t="s">
        <v>335</v>
      </c>
      <c r="G498" s="371" t="s">
        <v>217</v>
      </c>
      <c r="H498" s="371" t="s">
        <v>770</v>
      </c>
      <c r="I498" s="371" t="s">
        <v>369</v>
      </c>
      <c r="J498" s="371" t="s">
        <v>313</v>
      </c>
      <c r="K498" s="373" t="str">
        <f>IF(O498="Zauberspruch",L498,O498)</f>
        <v>Runenstab</v>
      </c>
      <c r="L498" s="373" t="s">
        <v>138</v>
      </c>
      <c r="M498" s="374" t="s">
        <v>329</v>
      </c>
      <c r="N498" s="374" t="s">
        <v>302</v>
      </c>
      <c r="O498" s="404" t="s">
        <v>1472</v>
      </c>
      <c r="P498" s="368" t="s">
        <v>75</v>
      </c>
      <c r="Q498" s="367" t="s">
        <v>1321</v>
      </c>
      <c r="R498" s="367">
        <v>52</v>
      </c>
    </row>
    <row r="499" spans="1:18" ht="20.100000000000001" customHeight="1" x14ac:dyDescent="0.2">
      <c r="A499" s="377" t="s">
        <v>1820</v>
      </c>
      <c r="B499" s="371" t="s">
        <v>220</v>
      </c>
      <c r="C499" s="371">
        <v>1</v>
      </c>
      <c r="D499" s="371">
        <v>1</v>
      </c>
      <c r="E499" s="371" t="s">
        <v>304</v>
      </c>
      <c r="F499" s="371" t="s">
        <v>25</v>
      </c>
      <c r="G499" s="371" t="s">
        <v>217</v>
      </c>
      <c r="H499" s="371" t="s">
        <v>588</v>
      </c>
      <c r="I499" s="371">
        <v>0</v>
      </c>
      <c r="J499" s="371" t="s">
        <v>370</v>
      </c>
      <c r="K499" s="373" t="str">
        <f>IF(O499="Zauberspruch",L499,O499)</f>
        <v>Zerstören</v>
      </c>
      <c r="L499" s="373" t="s">
        <v>141</v>
      </c>
      <c r="M499" s="373" t="s">
        <v>329</v>
      </c>
      <c r="N499" s="373" t="s">
        <v>301</v>
      </c>
      <c r="O499" s="373" t="s">
        <v>166</v>
      </c>
      <c r="P499" s="376" t="s">
        <v>75</v>
      </c>
      <c r="Q499" s="367" t="s">
        <v>1872</v>
      </c>
      <c r="R499" s="367">
        <v>13</v>
      </c>
    </row>
    <row r="500" spans="1:18" ht="20.100000000000001" customHeight="1" x14ac:dyDescent="0.2">
      <c r="A500" s="377" t="s">
        <v>667</v>
      </c>
      <c r="B500" s="371" t="s">
        <v>219</v>
      </c>
      <c r="C500" s="371">
        <v>3</v>
      </c>
      <c r="D500" s="387">
        <v>2</v>
      </c>
      <c r="E500" s="371" t="s">
        <v>311</v>
      </c>
      <c r="F500" s="371" t="s">
        <v>321</v>
      </c>
      <c r="G500" s="371" t="s">
        <v>216</v>
      </c>
      <c r="H500" s="371" t="s">
        <v>770</v>
      </c>
      <c r="I500" s="371" t="s">
        <v>306</v>
      </c>
      <c r="J500" s="388" t="s">
        <v>300</v>
      </c>
      <c r="K500" s="373" t="str">
        <f>IF(O500="Zauberspruch",L500,O500)</f>
        <v>Wundertat</v>
      </c>
      <c r="L500" s="376" t="s">
        <v>138</v>
      </c>
      <c r="M500" s="376" t="s">
        <v>314</v>
      </c>
      <c r="N500" s="376" t="s">
        <v>309</v>
      </c>
      <c r="O500" s="376" t="s">
        <v>1183</v>
      </c>
      <c r="P500" s="389" t="s">
        <v>75</v>
      </c>
      <c r="Q500" s="367" t="s">
        <v>748</v>
      </c>
      <c r="R500" s="367">
        <v>147</v>
      </c>
    </row>
    <row r="501" spans="1:18" ht="20.100000000000001" customHeight="1" x14ac:dyDescent="0.2">
      <c r="A501" s="377" t="s">
        <v>668</v>
      </c>
      <c r="B501" s="371" t="s">
        <v>219</v>
      </c>
      <c r="C501" s="371">
        <v>4</v>
      </c>
      <c r="D501" s="372">
        <v>2</v>
      </c>
      <c r="E501" s="371" t="s">
        <v>324</v>
      </c>
      <c r="F501" s="371" t="s">
        <v>335</v>
      </c>
      <c r="G501" s="371" t="s">
        <v>216</v>
      </c>
      <c r="H501" s="371" t="s">
        <v>770</v>
      </c>
      <c r="I501" s="371">
        <v>0</v>
      </c>
      <c r="J501" s="371" t="s">
        <v>370</v>
      </c>
      <c r="K501" s="373" t="str">
        <f>IF(O501="Zauberspruch",L501,O501)</f>
        <v>Zerstören</v>
      </c>
      <c r="L501" s="373" t="s">
        <v>141</v>
      </c>
      <c r="M501" s="374" t="s">
        <v>329</v>
      </c>
      <c r="N501" s="374" t="s">
        <v>302</v>
      </c>
      <c r="O501" s="373" t="s">
        <v>166</v>
      </c>
      <c r="P501" s="368" t="s">
        <v>75</v>
      </c>
      <c r="Q501" s="367" t="s">
        <v>748</v>
      </c>
      <c r="R501" s="367">
        <v>121</v>
      </c>
    </row>
    <row r="502" spans="1:18" ht="20.100000000000001" customHeight="1" x14ac:dyDescent="0.2">
      <c r="A502" s="377" t="s">
        <v>669</v>
      </c>
      <c r="B502" s="371" t="s">
        <v>220</v>
      </c>
      <c r="C502" s="371">
        <v>5</v>
      </c>
      <c r="D502" s="372">
        <v>6</v>
      </c>
      <c r="E502" s="371" t="s">
        <v>354</v>
      </c>
      <c r="F502" s="371" t="s">
        <v>25</v>
      </c>
      <c r="G502" s="371" t="s">
        <v>217</v>
      </c>
      <c r="H502" s="371" t="s">
        <v>774</v>
      </c>
      <c r="I502" s="371" t="s">
        <v>306</v>
      </c>
      <c r="J502" s="371" t="s">
        <v>313</v>
      </c>
      <c r="K502" s="373" t="str">
        <f>IF(O502="Zauberspruch",L502,O502)</f>
        <v>Formen</v>
      </c>
      <c r="L502" s="373" t="s">
        <v>148</v>
      </c>
      <c r="M502" s="374" t="s">
        <v>322</v>
      </c>
      <c r="N502" s="374" t="s">
        <v>319</v>
      </c>
      <c r="O502" s="373" t="s">
        <v>166</v>
      </c>
      <c r="P502" s="368" t="s">
        <v>75</v>
      </c>
      <c r="Q502" s="367" t="s">
        <v>748</v>
      </c>
      <c r="R502" s="367">
        <v>121</v>
      </c>
    </row>
    <row r="503" spans="1:18" ht="20.100000000000001" customHeight="1" x14ac:dyDescent="0.2">
      <c r="A503" s="377" t="s">
        <v>1581</v>
      </c>
      <c r="B503" s="371" t="s">
        <v>219</v>
      </c>
      <c r="C503" s="371">
        <v>5</v>
      </c>
      <c r="D503" s="372">
        <v>6</v>
      </c>
      <c r="E503" s="371" t="s">
        <v>304</v>
      </c>
      <c r="F503" s="371" t="s">
        <v>25</v>
      </c>
      <c r="G503" s="371" t="s">
        <v>217</v>
      </c>
      <c r="H503" s="371" t="s">
        <v>774</v>
      </c>
      <c r="I503" s="371" t="s">
        <v>306</v>
      </c>
      <c r="J503" s="371" t="s">
        <v>313</v>
      </c>
      <c r="K503" s="373" t="str">
        <f>IF(O503="Zauberspruch",L503,O503)</f>
        <v>Zaubersiegel</v>
      </c>
      <c r="L503" s="373" t="s">
        <v>148</v>
      </c>
      <c r="M503" s="374" t="s">
        <v>322</v>
      </c>
      <c r="N503" s="374" t="s">
        <v>319</v>
      </c>
      <c r="O503" s="404" t="s">
        <v>1322</v>
      </c>
      <c r="P503" s="368" t="s">
        <v>1500</v>
      </c>
      <c r="Q503" s="367" t="s">
        <v>1321</v>
      </c>
      <c r="R503" s="367">
        <v>61</v>
      </c>
    </row>
    <row r="504" spans="1:18" ht="20.100000000000001" customHeight="1" x14ac:dyDescent="0.2">
      <c r="A504" s="377" t="s">
        <v>1821</v>
      </c>
      <c r="B504" s="371" t="s">
        <v>220</v>
      </c>
      <c r="C504" s="371">
        <v>12</v>
      </c>
      <c r="D504" s="371" t="s">
        <v>1799</v>
      </c>
      <c r="E504" s="371" t="s">
        <v>316</v>
      </c>
      <c r="F504" s="371" t="s">
        <v>417</v>
      </c>
      <c r="G504" s="371" t="s">
        <v>216</v>
      </c>
      <c r="H504" s="371" t="s">
        <v>770</v>
      </c>
      <c r="I504" s="371">
        <v>0</v>
      </c>
      <c r="J504" s="371" t="s">
        <v>307</v>
      </c>
      <c r="K504" s="373" t="str">
        <f>IF(O504="Zauberspruch",L504,O504)</f>
        <v>Verändern</v>
      </c>
      <c r="L504" s="373" t="s">
        <v>138</v>
      </c>
      <c r="M504" s="373" t="s">
        <v>301</v>
      </c>
      <c r="N504" s="373" t="s">
        <v>302</v>
      </c>
      <c r="O504" s="373" t="s">
        <v>166</v>
      </c>
      <c r="P504" s="376" t="s">
        <v>1752</v>
      </c>
      <c r="Q504" s="367" t="s">
        <v>1872</v>
      </c>
      <c r="R504" s="367">
        <v>14</v>
      </c>
    </row>
    <row r="505" spans="1:18" ht="20.100000000000001" customHeight="1" x14ac:dyDescent="0.2">
      <c r="A505" s="377" t="s">
        <v>1427</v>
      </c>
      <c r="B505" s="371" t="s">
        <v>220</v>
      </c>
      <c r="C505" s="371">
        <v>12</v>
      </c>
      <c r="D505" s="372" t="s">
        <v>1428</v>
      </c>
      <c r="E505" s="371" t="s">
        <v>316</v>
      </c>
      <c r="F505" s="371" t="s">
        <v>25</v>
      </c>
      <c r="G505" s="371" t="s">
        <v>216</v>
      </c>
      <c r="H505" s="371" t="s">
        <v>770</v>
      </c>
      <c r="I505" s="371">
        <v>0</v>
      </c>
      <c r="J505" s="371" t="s">
        <v>307</v>
      </c>
      <c r="K505" s="373" t="str">
        <f>IF(O505="Zauberspruch",L505,O505)</f>
        <v>Thaumatherapie</v>
      </c>
      <c r="L505" s="373" t="s">
        <v>138</v>
      </c>
      <c r="M505" s="374" t="s">
        <v>301</v>
      </c>
      <c r="N505" s="374" t="s">
        <v>302</v>
      </c>
      <c r="O505" s="404" t="s">
        <v>1340</v>
      </c>
      <c r="P505" s="368" t="s">
        <v>1752</v>
      </c>
      <c r="Q505" s="367" t="s">
        <v>1321</v>
      </c>
      <c r="R505" s="367">
        <v>89</v>
      </c>
    </row>
    <row r="506" spans="1:18" ht="20.100000000000001" customHeight="1" x14ac:dyDescent="0.2">
      <c r="A506" s="377" t="s">
        <v>670</v>
      </c>
      <c r="B506" s="371" t="s">
        <v>220</v>
      </c>
      <c r="C506" s="371">
        <v>5</v>
      </c>
      <c r="D506" s="372">
        <v>6</v>
      </c>
      <c r="E506" s="371" t="s">
        <v>354</v>
      </c>
      <c r="F506" s="371" t="s">
        <v>25</v>
      </c>
      <c r="G506" s="371" t="s">
        <v>217</v>
      </c>
      <c r="H506" s="371" t="s">
        <v>774</v>
      </c>
      <c r="I506" s="371" t="s">
        <v>306</v>
      </c>
      <c r="J506" s="371" t="s">
        <v>313</v>
      </c>
      <c r="K506" s="373" t="str">
        <f>IF(O506="Zauberspruch",L506,O506)</f>
        <v>Formen</v>
      </c>
      <c r="L506" s="373" t="s">
        <v>148</v>
      </c>
      <c r="M506" s="374" t="s">
        <v>322</v>
      </c>
      <c r="N506" s="374" t="s">
        <v>319</v>
      </c>
      <c r="O506" s="373" t="s">
        <v>166</v>
      </c>
      <c r="P506" s="368" t="s">
        <v>75</v>
      </c>
      <c r="Q506" s="367" t="s">
        <v>748</v>
      </c>
      <c r="R506" s="367">
        <v>122</v>
      </c>
    </row>
    <row r="507" spans="1:18" ht="20.100000000000001" customHeight="1" x14ac:dyDescent="0.2">
      <c r="A507" s="377" t="s">
        <v>1582</v>
      </c>
      <c r="B507" s="371" t="s">
        <v>219</v>
      </c>
      <c r="C507" s="371">
        <v>5</v>
      </c>
      <c r="D507" s="372">
        <v>6</v>
      </c>
      <c r="E507" s="371" t="s">
        <v>304</v>
      </c>
      <c r="F507" s="371" t="s">
        <v>25</v>
      </c>
      <c r="G507" s="371" t="s">
        <v>217</v>
      </c>
      <c r="H507" s="371" t="s">
        <v>774</v>
      </c>
      <c r="I507" s="371" t="s">
        <v>306</v>
      </c>
      <c r="J507" s="371" t="s">
        <v>313</v>
      </c>
      <c r="K507" s="373" t="str">
        <f>IF(O507="Zauberspruch",L507,O507)</f>
        <v>Zaubersiegel</v>
      </c>
      <c r="L507" s="373" t="s">
        <v>148</v>
      </c>
      <c r="M507" s="374" t="s">
        <v>322</v>
      </c>
      <c r="N507" s="374" t="s">
        <v>319</v>
      </c>
      <c r="O507" s="404" t="s">
        <v>1322</v>
      </c>
      <c r="P507" s="368" t="s">
        <v>1500</v>
      </c>
      <c r="Q507" s="367" t="s">
        <v>1321</v>
      </c>
      <c r="R507" s="367">
        <v>61</v>
      </c>
    </row>
    <row r="508" spans="1:18" ht="20.100000000000001" customHeight="1" x14ac:dyDescent="0.2">
      <c r="A508" s="377" t="s">
        <v>671</v>
      </c>
      <c r="B508" s="371" t="s">
        <v>220</v>
      </c>
      <c r="C508" s="371">
        <v>4</v>
      </c>
      <c r="D508" s="372">
        <v>2</v>
      </c>
      <c r="E508" s="371" t="s">
        <v>311</v>
      </c>
      <c r="F508" s="371" t="s">
        <v>321</v>
      </c>
      <c r="G508" s="371" t="s">
        <v>216</v>
      </c>
      <c r="H508" s="371" t="s">
        <v>770</v>
      </c>
      <c r="I508" s="371" t="s">
        <v>347</v>
      </c>
      <c r="J508" s="371" t="s">
        <v>313</v>
      </c>
      <c r="K508" s="373" t="str">
        <f>IF(O508="Zauberspruch",L508,O508)</f>
        <v>Verändern</v>
      </c>
      <c r="L508" s="373" t="s">
        <v>138</v>
      </c>
      <c r="M508" s="374" t="s">
        <v>319</v>
      </c>
      <c r="N508" s="374" t="s">
        <v>302</v>
      </c>
      <c r="O508" s="373" t="s">
        <v>166</v>
      </c>
      <c r="P508" s="368" t="s">
        <v>672</v>
      </c>
      <c r="Q508" s="367" t="s">
        <v>748</v>
      </c>
      <c r="R508" s="367">
        <v>122</v>
      </c>
    </row>
    <row r="509" spans="1:18" ht="20.100000000000001" customHeight="1" x14ac:dyDescent="0.2">
      <c r="A509" s="377" t="s">
        <v>673</v>
      </c>
      <c r="B509" s="371" t="s">
        <v>220</v>
      </c>
      <c r="C509" s="371">
        <v>1</v>
      </c>
      <c r="D509" s="372">
        <v>2</v>
      </c>
      <c r="E509" s="371" t="s">
        <v>311</v>
      </c>
      <c r="F509" s="371" t="s">
        <v>321</v>
      </c>
      <c r="G509" s="371" t="s">
        <v>217</v>
      </c>
      <c r="H509" s="371" t="s">
        <v>774</v>
      </c>
      <c r="I509" s="371" t="s">
        <v>299</v>
      </c>
      <c r="J509" s="371" t="s">
        <v>307</v>
      </c>
      <c r="K509" s="373" t="str">
        <f>IF(O509="Zauberspruch",L509,O509)</f>
        <v>Formen</v>
      </c>
      <c r="L509" s="373" t="s">
        <v>148</v>
      </c>
      <c r="M509" s="374" t="s">
        <v>322</v>
      </c>
      <c r="N509" s="374" t="s">
        <v>319</v>
      </c>
      <c r="O509" s="373" t="s">
        <v>166</v>
      </c>
      <c r="P509" s="368" t="s">
        <v>75</v>
      </c>
      <c r="Q509" s="367" t="s">
        <v>748</v>
      </c>
      <c r="R509" s="367">
        <v>122</v>
      </c>
    </row>
    <row r="510" spans="1:18" ht="20.100000000000001" customHeight="1" x14ac:dyDescent="0.2">
      <c r="A510" s="377" t="s">
        <v>1834</v>
      </c>
      <c r="B510" s="371" t="s">
        <v>219</v>
      </c>
      <c r="C510" s="371">
        <v>11</v>
      </c>
      <c r="D510" s="371" t="s">
        <v>1799</v>
      </c>
      <c r="E510" s="371" t="s">
        <v>324</v>
      </c>
      <c r="F510" s="371" t="s">
        <v>321</v>
      </c>
      <c r="G510" s="371" t="s">
        <v>215</v>
      </c>
      <c r="H510" s="371" t="s">
        <v>770</v>
      </c>
      <c r="I510" s="371" t="s">
        <v>369</v>
      </c>
      <c r="J510" s="371" t="s">
        <v>300</v>
      </c>
      <c r="K510" s="373" t="str">
        <f>IF(O510="Zauberspruch",L510,O510)</f>
        <v>Wundertat</v>
      </c>
      <c r="L510" s="373" t="s">
        <v>137</v>
      </c>
      <c r="M510" s="373" t="s">
        <v>314</v>
      </c>
      <c r="N510" s="373" t="s">
        <v>314</v>
      </c>
      <c r="O510" s="376" t="s">
        <v>1183</v>
      </c>
      <c r="P510" s="376" t="s">
        <v>75</v>
      </c>
      <c r="Q510" s="367" t="s">
        <v>1872</v>
      </c>
      <c r="R510" s="367">
        <v>19</v>
      </c>
    </row>
    <row r="511" spans="1:18" ht="20.100000000000001" customHeight="1" x14ac:dyDescent="0.2">
      <c r="A511" s="377" t="s">
        <v>674</v>
      </c>
      <c r="B511" s="371" t="s">
        <v>220</v>
      </c>
      <c r="C511" s="371">
        <v>2</v>
      </c>
      <c r="D511" s="372">
        <v>2</v>
      </c>
      <c r="E511" s="371" t="s">
        <v>311</v>
      </c>
      <c r="F511" s="371" t="s">
        <v>321</v>
      </c>
      <c r="G511" s="371" t="s">
        <v>217</v>
      </c>
      <c r="H511" s="371" t="s">
        <v>774</v>
      </c>
      <c r="I511" s="371">
        <v>0</v>
      </c>
      <c r="J511" s="371" t="s">
        <v>307</v>
      </c>
      <c r="K511" s="373" t="str">
        <f>IF(O511="Zauberspruch",L511,O511)</f>
        <v>Formen</v>
      </c>
      <c r="L511" s="373" t="s">
        <v>148</v>
      </c>
      <c r="M511" s="374" t="s">
        <v>322</v>
      </c>
      <c r="N511" s="374" t="s">
        <v>319</v>
      </c>
      <c r="O511" s="373" t="s">
        <v>166</v>
      </c>
      <c r="P511" s="368" t="s">
        <v>75</v>
      </c>
      <c r="Q511" s="367" t="s">
        <v>748</v>
      </c>
      <c r="R511" s="367">
        <v>122</v>
      </c>
    </row>
    <row r="512" spans="1:18" ht="20.100000000000001" customHeight="1" x14ac:dyDescent="0.2">
      <c r="A512" s="377" t="s">
        <v>675</v>
      </c>
      <c r="B512" s="371" t="s">
        <v>220</v>
      </c>
      <c r="C512" s="371">
        <v>8</v>
      </c>
      <c r="D512" s="372" t="s">
        <v>749</v>
      </c>
      <c r="E512" s="371" t="s">
        <v>354</v>
      </c>
      <c r="F512" s="371" t="s">
        <v>472</v>
      </c>
      <c r="G512" s="371" t="s">
        <v>217</v>
      </c>
      <c r="H512" s="371" t="s">
        <v>771</v>
      </c>
      <c r="I512" s="371" t="s">
        <v>532</v>
      </c>
      <c r="J512" s="371" t="s">
        <v>313</v>
      </c>
      <c r="K512" s="373" t="str">
        <f>IF(O512="Zauberspruch",L512,O512)</f>
        <v>Bewegen</v>
      </c>
      <c r="L512" s="373" t="s">
        <v>140</v>
      </c>
      <c r="M512" s="374" t="s">
        <v>322</v>
      </c>
      <c r="N512" s="374" t="s">
        <v>319</v>
      </c>
      <c r="O512" s="373" t="s">
        <v>166</v>
      </c>
      <c r="P512" s="368" t="s">
        <v>676</v>
      </c>
      <c r="Q512" s="367" t="s">
        <v>748</v>
      </c>
      <c r="R512" s="367">
        <v>123</v>
      </c>
    </row>
    <row r="513" spans="1:18" ht="20.100000000000001" customHeight="1" x14ac:dyDescent="0.2">
      <c r="A513" s="377" t="s">
        <v>1703</v>
      </c>
      <c r="B513" s="371" t="s">
        <v>219</v>
      </c>
      <c r="C513" s="371">
        <v>8</v>
      </c>
      <c r="D513" s="372">
        <v>2</v>
      </c>
      <c r="E513" s="371" t="s">
        <v>304</v>
      </c>
      <c r="F513" s="371" t="s">
        <v>472</v>
      </c>
      <c r="G513" s="371" t="s">
        <v>217</v>
      </c>
      <c r="H513" s="371" t="s">
        <v>770</v>
      </c>
      <c r="I513" s="371" t="s">
        <v>532</v>
      </c>
      <c r="J513" s="371" t="s">
        <v>313</v>
      </c>
      <c r="K513" s="373" t="s">
        <v>1322</v>
      </c>
      <c r="L513" s="373" t="s">
        <v>140</v>
      </c>
      <c r="M513" s="374" t="s">
        <v>322</v>
      </c>
      <c r="N513" s="374" t="s">
        <v>319</v>
      </c>
      <c r="O513" s="373" t="s">
        <v>1322</v>
      </c>
      <c r="P513" s="368" t="s">
        <v>1704</v>
      </c>
      <c r="Q513" s="367" t="s">
        <v>1321</v>
      </c>
      <c r="R513" s="367">
        <v>61</v>
      </c>
    </row>
    <row r="514" spans="1:18" ht="20.100000000000001" customHeight="1" x14ac:dyDescent="0.2">
      <c r="A514" s="377" t="s">
        <v>1651</v>
      </c>
      <c r="B514" s="371" t="s">
        <v>220</v>
      </c>
      <c r="C514" s="371">
        <v>5</v>
      </c>
      <c r="D514" s="372">
        <v>2</v>
      </c>
      <c r="E514" s="371" t="s">
        <v>299</v>
      </c>
      <c r="F514" s="371" t="s">
        <v>332</v>
      </c>
      <c r="G514" s="371" t="s">
        <v>217</v>
      </c>
      <c r="H514" s="371" t="s">
        <v>774</v>
      </c>
      <c r="I514" s="371" t="s">
        <v>369</v>
      </c>
      <c r="J514" s="371" t="s">
        <v>300</v>
      </c>
      <c r="K514" s="373" t="str">
        <f>IF(O514="Zauberspruch",L514,O514)</f>
        <v>Erhaltung</v>
      </c>
      <c r="L514" s="373" t="s">
        <v>148</v>
      </c>
      <c r="M514" s="374" t="s">
        <v>319</v>
      </c>
      <c r="N514" s="374" t="s">
        <v>322</v>
      </c>
      <c r="O514" s="404" t="s">
        <v>1650</v>
      </c>
      <c r="P514" s="368" t="s">
        <v>75</v>
      </c>
      <c r="Q514" s="367" t="s">
        <v>1321</v>
      </c>
      <c r="R514" s="367">
        <v>123</v>
      </c>
    </row>
    <row r="515" spans="1:18" ht="20.100000000000001" customHeight="1" x14ac:dyDescent="0.2">
      <c r="A515" s="377" t="s">
        <v>677</v>
      </c>
      <c r="B515" s="371" t="s">
        <v>220</v>
      </c>
      <c r="C515" s="371">
        <v>10</v>
      </c>
      <c r="D515" s="372">
        <v>8</v>
      </c>
      <c r="E515" s="371" t="s">
        <v>311</v>
      </c>
      <c r="F515" s="371" t="s">
        <v>25</v>
      </c>
      <c r="G515" s="371" t="s">
        <v>216</v>
      </c>
      <c r="H515" s="371" t="s">
        <v>770</v>
      </c>
      <c r="I515" s="371" t="s">
        <v>369</v>
      </c>
      <c r="J515" s="371" t="s">
        <v>370</v>
      </c>
      <c r="K515" s="373" t="str">
        <f>IF(O515="Zauberspruch",L515,O515)</f>
        <v>Verändern</v>
      </c>
      <c r="L515" s="373" t="s">
        <v>138</v>
      </c>
      <c r="M515" s="374" t="s">
        <v>302</v>
      </c>
      <c r="N515" s="374" t="s">
        <v>302</v>
      </c>
      <c r="O515" s="373" t="s">
        <v>166</v>
      </c>
      <c r="P515" s="368" t="s">
        <v>75</v>
      </c>
      <c r="Q515" s="367" t="s">
        <v>748</v>
      </c>
      <c r="R515" s="367">
        <v>123</v>
      </c>
    </row>
    <row r="516" spans="1:18" ht="20.100000000000001" customHeight="1" x14ac:dyDescent="0.2">
      <c r="A516" s="377" t="s">
        <v>678</v>
      </c>
      <c r="B516" s="371" t="s">
        <v>220</v>
      </c>
      <c r="C516" s="371">
        <v>5</v>
      </c>
      <c r="D516" s="372">
        <v>3</v>
      </c>
      <c r="E516" s="371" t="s">
        <v>311</v>
      </c>
      <c r="F516" s="371" t="s">
        <v>305</v>
      </c>
      <c r="G516" s="371" t="s">
        <v>215</v>
      </c>
      <c r="H516" s="371" t="s">
        <v>770</v>
      </c>
      <c r="I516" s="371" t="s">
        <v>306</v>
      </c>
      <c r="J516" s="371" t="s">
        <v>313</v>
      </c>
      <c r="K516" s="373" t="str">
        <f>IF(O516="Zauberspruch",L516,O516)</f>
        <v>Beherrschen</v>
      </c>
      <c r="L516" s="373" t="s">
        <v>137</v>
      </c>
      <c r="M516" s="374" t="s">
        <v>309</v>
      </c>
      <c r="N516" s="374" t="s">
        <v>314</v>
      </c>
      <c r="O516" s="373" t="s">
        <v>166</v>
      </c>
      <c r="P516" s="368" t="s">
        <v>679</v>
      </c>
      <c r="Q516" s="367" t="s">
        <v>748</v>
      </c>
      <c r="R516" s="367">
        <v>123</v>
      </c>
    </row>
    <row r="517" spans="1:18" ht="20.100000000000001" customHeight="1" x14ac:dyDescent="0.2">
      <c r="A517" s="377" t="s">
        <v>1583</v>
      </c>
      <c r="B517" s="371" t="s">
        <v>219</v>
      </c>
      <c r="C517" s="371">
        <v>5</v>
      </c>
      <c r="D517" s="372">
        <v>3</v>
      </c>
      <c r="E517" s="371" t="s">
        <v>304</v>
      </c>
      <c r="F517" s="371" t="s">
        <v>305</v>
      </c>
      <c r="G517" s="371" t="s">
        <v>215</v>
      </c>
      <c r="H517" s="371" t="s">
        <v>770</v>
      </c>
      <c r="I517" s="371" t="s">
        <v>306</v>
      </c>
      <c r="J517" s="371" t="s">
        <v>313</v>
      </c>
      <c r="K517" s="373" t="str">
        <f>IF(O517="Zauberspruch",L517,O517)</f>
        <v>Zaubersiegel</v>
      </c>
      <c r="L517" s="373" t="s">
        <v>137</v>
      </c>
      <c r="M517" s="374" t="s">
        <v>309</v>
      </c>
      <c r="N517" s="374" t="s">
        <v>314</v>
      </c>
      <c r="O517" s="404" t="s">
        <v>1322</v>
      </c>
      <c r="P517" s="368" t="s">
        <v>1497</v>
      </c>
      <c r="Q517" s="367" t="s">
        <v>1321</v>
      </c>
      <c r="R517" s="367">
        <v>64</v>
      </c>
    </row>
    <row r="518" spans="1:18" ht="20.100000000000001" customHeight="1" x14ac:dyDescent="0.2">
      <c r="A518" s="377" t="s">
        <v>680</v>
      </c>
      <c r="B518" s="406" t="s">
        <v>220</v>
      </c>
      <c r="C518" s="371">
        <v>5</v>
      </c>
      <c r="D518" s="372">
        <v>3</v>
      </c>
      <c r="E518" s="371" t="s">
        <v>304</v>
      </c>
      <c r="F518" s="371" t="s">
        <v>25</v>
      </c>
      <c r="G518" s="371" t="s">
        <v>216</v>
      </c>
      <c r="H518" s="371" t="s">
        <v>770</v>
      </c>
      <c r="I518" s="371">
        <v>0</v>
      </c>
      <c r="J518" s="398" t="s">
        <v>370</v>
      </c>
      <c r="K518" s="400" t="str">
        <f>IF(O518="Zauberspruch",L518,O518)</f>
        <v>Zerstören</v>
      </c>
      <c r="L518" s="373" t="s">
        <v>141</v>
      </c>
      <c r="M518" s="374" t="s">
        <v>329</v>
      </c>
      <c r="N518" s="374" t="s">
        <v>302</v>
      </c>
      <c r="O518" s="373" t="s">
        <v>166</v>
      </c>
      <c r="P518" s="368" t="s">
        <v>75</v>
      </c>
      <c r="Q518" s="367" t="s">
        <v>748</v>
      </c>
      <c r="R518" s="367">
        <v>124</v>
      </c>
    </row>
    <row r="519" spans="1:18" ht="20.100000000000001" customHeight="1" x14ac:dyDescent="0.2">
      <c r="A519" s="377" t="s">
        <v>681</v>
      </c>
      <c r="B519" s="406" t="s">
        <v>220</v>
      </c>
      <c r="C519" s="371">
        <v>4</v>
      </c>
      <c r="D519" s="372">
        <v>2</v>
      </c>
      <c r="E519" s="371" t="s">
        <v>304</v>
      </c>
      <c r="F519" s="371" t="s">
        <v>25</v>
      </c>
      <c r="G519" s="371" t="s">
        <v>216</v>
      </c>
      <c r="H519" s="371" t="s">
        <v>770</v>
      </c>
      <c r="I519" s="371" t="s">
        <v>682</v>
      </c>
      <c r="J519" s="398" t="s">
        <v>313</v>
      </c>
      <c r="K519" s="400" t="str">
        <f>IF(O519="Zauberspruch",L519,O519)</f>
        <v>Verändern</v>
      </c>
      <c r="L519" s="373" t="s">
        <v>138</v>
      </c>
      <c r="M519" s="374" t="s">
        <v>329</v>
      </c>
      <c r="N519" s="374" t="s">
        <v>302</v>
      </c>
      <c r="O519" s="373" t="s">
        <v>166</v>
      </c>
      <c r="P519" s="368" t="s">
        <v>75</v>
      </c>
      <c r="Q519" s="367" t="s">
        <v>748</v>
      </c>
      <c r="R519" s="367">
        <v>124</v>
      </c>
    </row>
    <row r="520" spans="1:18" ht="20.100000000000001" customHeight="1" x14ac:dyDescent="0.2">
      <c r="A520" s="377" t="s">
        <v>683</v>
      </c>
      <c r="B520" s="406" t="s">
        <v>220</v>
      </c>
      <c r="C520" s="371">
        <v>3</v>
      </c>
      <c r="D520" s="372">
        <v>1</v>
      </c>
      <c r="E520" s="371" t="s">
        <v>304</v>
      </c>
      <c r="F520" s="371" t="s">
        <v>25</v>
      </c>
      <c r="G520" s="371" t="s">
        <v>216</v>
      </c>
      <c r="H520" s="371" t="s">
        <v>770</v>
      </c>
      <c r="I520" s="371">
        <v>0</v>
      </c>
      <c r="J520" s="398" t="s">
        <v>370</v>
      </c>
      <c r="K520" s="400" t="str">
        <f>IF(O520="Zauberspruch",L520,O520)</f>
        <v>Zerstören</v>
      </c>
      <c r="L520" s="373" t="s">
        <v>141</v>
      </c>
      <c r="M520" s="374" t="s">
        <v>329</v>
      </c>
      <c r="N520" s="374" t="s">
        <v>302</v>
      </c>
      <c r="O520" s="373" t="s">
        <v>166</v>
      </c>
      <c r="P520" s="368" t="s">
        <v>75</v>
      </c>
      <c r="Q520" s="367" t="s">
        <v>748</v>
      </c>
      <c r="R520" s="367">
        <v>124</v>
      </c>
    </row>
    <row r="521" spans="1:18" ht="20.100000000000001" customHeight="1" x14ac:dyDescent="0.2">
      <c r="A521" s="377" t="s">
        <v>684</v>
      </c>
      <c r="B521" s="406" t="s">
        <v>220</v>
      </c>
      <c r="C521" s="371">
        <v>11</v>
      </c>
      <c r="D521" s="372" t="s">
        <v>1792</v>
      </c>
      <c r="E521" s="371" t="s">
        <v>324</v>
      </c>
      <c r="F521" s="371" t="s">
        <v>25</v>
      </c>
      <c r="G521" s="371" t="s">
        <v>216</v>
      </c>
      <c r="H521" s="371" t="s">
        <v>770</v>
      </c>
      <c r="I521" s="371" t="s">
        <v>369</v>
      </c>
      <c r="J521" s="398" t="s">
        <v>313</v>
      </c>
      <c r="K521" s="400" t="str">
        <f>IF(O521="Zauberspruch",L521,O521)</f>
        <v>Verändern</v>
      </c>
      <c r="L521" s="373" t="s">
        <v>138</v>
      </c>
      <c r="M521" s="374" t="s">
        <v>301</v>
      </c>
      <c r="N521" s="374" t="s">
        <v>302</v>
      </c>
      <c r="O521" s="373" t="s">
        <v>166</v>
      </c>
      <c r="P521" s="368" t="s">
        <v>1206</v>
      </c>
      <c r="Q521" s="367" t="s">
        <v>748</v>
      </c>
      <c r="R521" s="367">
        <v>124</v>
      </c>
    </row>
    <row r="522" spans="1:18" ht="20.100000000000001" customHeight="1" x14ac:dyDescent="0.2">
      <c r="A522" s="377" t="s">
        <v>1584</v>
      </c>
      <c r="B522" s="406" t="s">
        <v>219</v>
      </c>
      <c r="C522" s="371">
        <v>11</v>
      </c>
      <c r="D522" s="372" t="s">
        <v>1428</v>
      </c>
      <c r="E522" s="371" t="s">
        <v>304</v>
      </c>
      <c r="F522" s="371" t="s">
        <v>25</v>
      </c>
      <c r="G522" s="371" t="s">
        <v>216</v>
      </c>
      <c r="H522" s="371" t="s">
        <v>770</v>
      </c>
      <c r="I522" s="371" t="s">
        <v>369</v>
      </c>
      <c r="J522" s="398" t="s">
        <v>313</v>
      </c>
      <c r="K522" s="400" t="str">
        <f>IF(O522="Zauberspruch",L522,O522)</f>
        <v>Zaubersiegel</v>
      </c>
      <c r="L522" s="373" t="s">
        <v>138</v>
      </c>
      <c r="M522" s="374" t="s">
        <v>301</v>
      </c>
      <c r="N522" s="374" t="s">
        <v>302</v>
      </c>
      <c r="O522" s="404" t="s">
        <v>1322</v>
      </c>
      <c r="P522" s="368" t="s">
        <v>1524</v>
      </c>
      <c r="Q522" s="367" t="s">
        <v>1321</v>
      </c>
      <c r="R522" s="367">
        <v>64</v>
      </c>
    </row>
    <row r="523" spans="1:18" ht="20.100000000000001" customHeight="1" x14ac:dyDescent="0.2">
      <c r="A523" s="377" t="s">
        <v>685</v>
      </c>
      <c r="B523" s="406" t="s">
        <v>220</v>
      </c>
      <c r="C523" s="371">
        <v>2</v>
      </c>
      <c r="D523" s="372" t="s">
        <v>750</v>
      </c>
      <c r="E523" s="371" t="s">
        <v>304</v>
      </c>
      <c r="F523" s="371" t="s">
        <v>305</v>
      </c>
      <c r="G523" s="371" t="s">
        <v>215</v>
      </c>
      <c r="H523" s="371" t="s">
        <v>770</v>
      </c>
      <c r="I523" s="371" t="s">
        <v>311</v>
      </c>
      <c r="J523" s="398" t="s">
        <v>313</v>
      </c>
      <c r="K523" s="400" t="str">
        <f>IF(O523="Zauberspruch",L523,O523)</f>
        <v>Beherrschen</v>
      </c>
      <c r="L523" s="373" t="s">
        <v>137</v>
      </c>
      <c r="M523" s="374" t="s">
        <v>322</v>
      </c>
      <c r="N523" s="374" t="s">
        <v>308</v>
      </c>
      <c r="O523" s="373" t="s">
        <v>166</v>
      </c>
      <c r="P523" s="368" t="s">
        <v>75</v>
      </c>
      <c r="Q523" s="367" t="s">
        <v>748</v>
      </c>
      <c r="R523" s="367">
        <v>125</v>
      </c>
    </row>
    <row r="524" spans="1:18" ht="20.100000000000001" customHeight="1" x14ac:dyDescent="0.2">
      <c r="A524" s="377" t="s">
        <v>686</v>
      </c>
      <c r="B524" s="406" t="s">
        <v>219</v>
      </c>
      <c r="C524" s="371">
        <v>4</v>
      </c>
      <c r="D524" s="372" t="s">
        <v>749</v>
      </c>
      <c r="E524" s="371" t="s">
        <v>311</v>
      </c>
      <c r="F524" s="371" t="s">
        <v>321</v>
      </c>
      <c r="G524" s="371" t="s">
        <v>216</v>
      </c>
      <c r="H524" s="371" t="s">
        <v>798</v>
      </c>
      <c r="I524" s="371" t="s">
        <v>299</v>
      </c>
      <c r="J524" s="398" t="s">
        <v>313</v>
      </c>
      <c r="K524" s="400" t="str">
        <f>IF(O524="Zauberspruch",L524,O524)</f>
        <v>Verändern</v>
      </c>
      <c r="L524" s="373" t="s">
        <v>138</v>
      </c>
      <c r="M524" s="374" t="s">
        <v>314</v>
      </c>
      <c r="N524" s="374" t="s">
        <v>309</v>
      </c>
      <c r="O524" s="373" t="s">
        <v>166</v>
      </c>
      <c r="P524" s="368" t="s">
        <v>75</v>
      </c>
      <c r="Q524" s="367" t="s">
        <v>748</v>
      </c>
      <c r="R524" s="367">
        <v>125</v>
      </c>
    </row>
    <row r="525" spans="1:18" ht="20.100000000000001" customHeight="1" x14ac:dyDescent="0.2">
      <c r="A525" s="377" t="s">
        <v>687</v>
      </c>
      <c r="B525" s="406" t="s">
        <v>220</v>
      </c>
      <c r="C525" s="371">
        <v>8</v>
      </c>
      <c r="D525" s="372">
        <v>5</v>
      </c>
      <c r="E525" s="371" t="s">
        <v>311</v>
      </c>
      <c r="F525" s="371" t="s">
        <v>25</v>
      </c>
      <c r="G525" s="371" t="s">
        <v>215</v>
      </c>
      <c r="H525" s="371" t="s">
        <v>770</v>
      </c>
      <c r="I525" s="371" t="s">
        <v>493</v>
      </c>
      <c r="J525" s="398" t="s">
        <v>313</v>
      </c>
      <c r="K525" s="400" t="str">
        <f>IF(O525="Zauberspruch",L525,O525)</f>
        <v>Verändern</v>
      </c>
      <c r="L525" s="373" t="s">
        <v>138</v>
      </c>
      <c r="M525" s="374" t="s">
        <v>322</v>
      </c>
      <c r="N525" s="374" t="s">
        <v>314</v>
      </c>
      <c r="O525" s="373" t="s">
        <v>166</v>
      </c>
      <c r="P525" s="368" t="s">
        <v>688</v>
      </c>
      <c r="Q525" s="367" t="s">
        <v>748</v>
      </c>
      <c r="R525" s="367">
        <v>125</v>
      </c>
    </row>
    <row r="526" spans="1:18" ht="20.100000000000001" customHeight="1" x14ac:dyDescent="0.2">
      <c r="A526" s="377" t="s">
        <v>689</v>
      </c>
      <c r="B526" s="406" t="s">
        <v>220</v>
      </c>
      <c r="C526" s="371">
        <v>6</v>
      </c>
      <c r="D526" s="387" t="s">
        <v>690</v>
      </c>
      <c r="E526" s="371" t="s">
        <v>316</v>
      </c>
      <c r="F526" s="371" t="s">
        <v>75</v>
      </c>
      <c r="G526" s="371" t="s">
        <v>215</v>
      </c>
      <c r="H526" s="371" t="s">
        <v>791</v>
      </c>
      <c r="I526" s="371" t="s">
        <v>493</v>
      </c>
      <c r="J526" s="410" t="s">
        <v>300</v>
      </c>
      <c r="K526" s="400" t="str">
        <f>IF(O526="Zauberspruch",L526,O526)</f>
        <v>Wundertat</v>
      </c>
      <c r="L526" s="376" t="s">
        <v>143</v>
      </c>
      <c r="M526" s="376" t="s">
        <v>309</v>
      </c>
      <c r="N526" s="376" t="s">
        <v>314</v>
      </c>
      <c r="O526" s="376" t="s">
        <v>1183</v>
      </c>
      <c r="P526" s="393" t="s">
        <v>1207</v>
      </c>
      <c r="Q526" s="367" t="s">
        <v>748</v>
      </c>
      <c r="R526" s="367">
        <v>147</v>
      </c>
    </row>
    <row r="527" spans="1:18" ht="20.100000000000001" customHeight="1" x14ac:dyDescent="0.2">
      <c r="A527" s="377" t="s">
        <v>691</v>
      </c>
      <c r="B527" s="406" t="s">
        <v>220</v>
      </c>
      <c r="C527" s="371">
        <v>6</v>
      </c>
      <c r="D527" s="372">
        <v>6</v>
      </c>
      <c r="E527" s="371" t="s">
        <v>354</v>
      </c>
      <c r="F527" s="371" t="s">
        <v>25</v>
      </c>
      <c r="G527" s="371" t="s">
        <v>216</v>
      </c>
      <c r="H527" s="371" t="s">
        <v>770</v>
      </c>
      <c r="I527" s="371" t="s">
        <v>306</v>
      </c>
      <c r="J527" s="398" t="s">
        <v>313</v>
      </c>
      <c r="K527" s="400" t="str">
        <f>IF(O527="Zauberspruch",L527,O527)</f>
        <v>Verändern</v>
      </c>
      <c r="L527" s="373" t="s">
        <v>138</v>
      </c>
      <c r="M527" s="374" t="s">
        <v>301</v>
      </c>
      <c r="N527" s="374" t="s">
        <v>302</v>
      </c>
      <c r="O527" s="373" t="s">
        <v>166</v>
      </c>
      <c r="P527" s="368" t="s">
        <v>75</v>
      </c>
      <c r="Q527" s="367" t="s">
        <v>748</v>
      </c>
      <c r="R527" s="367">
        <v>126</v>
      </c>
    </row>
    <row r="528" spans="1:18" ht="20.100000000000001" customHeight="1" x14ac:dyDescent="0.2">
      <c r="A528" s="377" t="s">
        <v>1585</v>
      </c>
      <c r="B528" s="406" t="s">
        <v>219</v>
      </c>
      <c r="C528" s="371">
        <v>6</v>
      </c>
      <c r="D528" s="372">
        <v>6</v>
      </c>
      <c r="E528" s="371" t="s">
        <v>304</v>
      </c>
      <c r="F528" s="371" t="s">
        <v>25</v>
      </c>
      <c r="G528" s="371" t="s">
        <v>216</v>
      </c>
      <c r="H528" s="371" t="s">
        <v>770</v>
      </c>
      <c r="I528" s="371" t="s">
        <v>306</v>
      </c>
      <c r="J528" s="398" t="s">
        <v>313</v>
      </c>
      <c r="K528" s="400" t="str">
        <f>IF(O528="Zauberspruch",L528,O528)</f>
        <v>Zaubersiegel</v>
      </c>
      <c r="L528" s="373" t="s">
        <v>138</v>
      </c>
      <c r="M528" s="374" t="s">
        <v>301</v>
      </c>
      <c r="N528" s="374" t="s">
        <v>302</v>
      </c>
      <c r="O528" s="404" t="s">
        <v>1322</v>
      </c>
      <c r="P528" s="368" t="s">
        <v>1512</v>
      </c>
      <c r="Q528" s="367" t="s">
        <v>1321</v>
      </c>
      <c r="R528" s="367">
        <v>64</v>
      </c>
    </row>
    <row r="529" spans="1:18" ht="20.100000000000001" customHeight="1" x14ac:dyDescent="0.2">
      <c r="A529" s="377" t="s">
        <v>1586</v>
      </c>
      <c r="B529" s="406" t="s">
        <v>219</v>
      </c>
      <c r="C529" s="371">
        <v>8</v>
      </c>
      <c r="D529" s="372">
        <v>6</v>
      </c>
      <c r="E529" s="371" t="s">
        <v>304</v>
      </c>
      <c r="F529" s="371" t="s">
        <v>332</v>
      </c>
      <c r="G529" s="371" t="s">
        <v>217</v>
      </c>
      <c r="H529" s="371" t="s">
        <v>780</v>
      </c>
      <c r="I529" s="371" t="s">
        <v>338</v>
      </c>
      <c r="J529" s="398" t="s">
        <v>313</v>
      </c>
      <c r="K529" s="400" t="str">
        <f>IF(O529="Zauberspruch",L529,O529)</f>
        <v>Zaubersiegel</v>
      </c>
      <c r="L529" s="373" t="s">
        <v>143</v>
      </c>
      <c r="M529" s="374" t="s">
        <v>322</v>
      </c>
      <c r="N529" s="374" t="s">
        <v>322</v>
      </c>
      <c r="O529" s="404" t="s">
        <v>1322</v>
      </c>
      <c r="P529" s="368" t="s">
        <v>1506</v>
      </c>
      <c r="Q529" s="367" t="s">
        <v>1321</v>
      </c>
      <c r="R529" s="367">
        <v>64</v>
      </c>
    </row>
    <row r="530" spans="1:18" ht="20.100000000000001" customHeight="1" x14ac:dyDescent="0.2">
      <c r="A530" s="392" t="s">
        <v>692</v>
      </c>
      <c r="B530" s="408" t="s">
        <v>220</v>
      </c>
      <c r="C530" s="388">
        <v>5</v>
      </c>
      <c r="D530" s="395" t="s">
        <v>517</v>
      </c>
      <c r="E530" s="388" t="s">
        <v>347</v>
      </c>
      <c r="F530" s="371" t="s">
        <v>25</v>
      </c>
      <c r="G530" s="388" t="s">
        <v>217</v>
      </c>
      <c r="H530" s="388" t="s">
        <v>774</v>
      </c>
      <c r="I530" s="388" t="s">
        <v>306</v>
      </c>
      <c r="J530" s="410" t="s">
        <v>300</v>
      </c>
      <c r="K530" s="400" t="str">
        <f>IF(O530="Zauberspruch",L530,O530)</f>
        <v>Wundertat</v>
      </c>
      <c r="L530" s="376" t="s">
        <v>148</v>
      </c>
      <c r="M530" s="376" t="s">
        <v>314</v>
      </c>
      <c r="N530" s="376" t="s">
        <v>319</v>
      </c>
      <c r="O530" s="376" t="s">
        <v>1183</v>
      </c>
      <c r="P530" s="393" t="s">
        <v>75</v>
      </c>
      <c r="Q530" s="367" t="s">
        <v>748</v>
      </c>
      <c r="R530" s="367">
        <v>148</v>
      </c>
    </row>
    <row r="531" spans="1:18" ht="20.100000000000001" customHeight="1" x14ac:dyDescent="0.2">
      <c r="A531" s="377" t="s">
        <v>1398</v>
      </c>
      <c r="B531" s="406" t="s">
        <v>220</v>
      </c>
      <c r="C531" s="371">
        <v>3</v>
      </c>
      <c r="D531" s="372">
        <v>2</v>
      </c>
      <c r="E531" s="371" t="s">
        <v>306</v>
      </c>
      <c r="F531" s="371" t="s">
        <v>332</v>
      </c>
      <c r="G531" s="371" t="s">
        <v>217</v>
      </c>
      <c r="H531" s="388" t="s">
        <v>774</v>
      </c>
      <c r="I531" s="371" t="s">
        <v>383</v>
      </c>
      <c r="J531" s="398" t="s">
        <v>300</v>
      </c>
      <c r="K531" s="400" t="str">
        <f>IF(O531="Zauberspruch",L531,O531)</f>
        <v>Wundertat</v>
      </c>
      <c r="L531" s="373" t="s">
        <v>148</v>
      </c>
      <c r="M531" s="374" t="s">
        <v>314</v>
      </c>
      <c r="N531" s="374" t="s">
        <v>319</v>
      </c>
      <c r="O531" s="404" t="s">
        <v>1183</v>
      </c>
      <c r="P531" s="368" t="s">
        <v>75</v>
      </c>
      <c r="Q531" s="367" t="s">
        <v>1321</v>
      </c>
      <c r="R531" s="367">
        <v>91</v>
      </c>
    </row>
    <row r="532" spans="1:18" ht="20.100000000000001" customHeight="1" x14ac:dyDescent="0.2">
      <c r="A532" s="377" t="s">
        <v>693</v>
      </c>
      <c r="B532" s="406" t="s">
        <v>219</v>
      </c>
      <c r="C532" s="371">
        <v>6</v>
      </c>
      <c r="D532" s="387">
        <v>6</v>
      </c>
      <c r="E532" s="371" t="s">
        <v>311</v>
      </c>
      <c r="F532" s="371" t="s">
        <v>75</v>
      </c>
      <c r="G532" s="371" t="s">
        <v>216</v>
      </c>
      <c r="H532" s="371" t="s">
        <v>791</v>
      </c>
      <c r="I532" s="371" t="s">
        <v>347</v>
      </c>
      <c r="J532" s="410" t="s">
        <v>300</v>
      </c>
      <c r="K532" s="400" t="str">
        <f>IF(O532="Zauberspruch",L532,O532)</f>
        <v>Wundertat</v>
      </c>
      <c r="L532" s="376" t="s">
        <v>138</v>
      </c>
      <c r="M532" s="376" t="s">
        <v>314</v>
      </c>
      <c r="N532" s="376" t="s">
        <v>302</v>
      </c>
      <c r="O532" s="376" t="s">
        <v>1183</v>
      </c>
      <c r="P532" s="389" t="s">
        <v>75</v>
      </c>
      <c r="Q532" s="367" t="s">
        <v>748</v>
      </c>
      <c r="R532" s="367">
        <v>148</v>
      </c>
    </row>
    <row r="533" spans="1:18" ht="20.100000000000001" customHeight="1" x14ac:dyDescent="0.2">
      <c r="A533" s="377" t="s">
        <v>694</v>
      </c>
      <c r="B533" s="406" t="s">
        <v>220</v>
      </c>
      <c r="C533" s="371">
        <v>3</v>
      </c>
      <c r="D533" s="387">
        <v>2</v>
      </c>
      <c r="E533" s="371" t="s">
        <v>311</v>
      </c>
      <c r="F533" s="371" t="s">
        <v>321</v>
      </c>
      <c r="G533" s="371" t="s">
        <v>215</v>
      </c>
      <c r="H533" s="371" t="s">
        <v>770</v>
      </c>
      <c r="I533" s="371" t="s">
        <v>318</v>
      </c>
      <c r="J533" s="410" t="s">
        <v>300</v>
      </c>
      <c r="K533" s="400" t="str">
        <f>IF(O533="Zauberspruch",L533,O533)</f>
        <v>Wundertat</v>
      </c>
      <c r="L533" s="376" t="s">
        <v>138</v>
      </c>
      <c r="M533" s="376" t="s">
        <v>314</v>
      </c>
      <c r="N533" s="376" t="s">
        <v>308</v>
      </c>
      <c r="O533" s="376" t="s">
        <v>1183</v>
      </c>
      <c r="P533" s="389" t="s">
        <v>75</v>
      </c>
      <c r="Q533" s="367" t="s">
        <v>748</v>
      </c>
      <c r="R533" s="367">
        <v>148</v>
      </c>
    </row>
    <row r="534" spans="1:18" ht="20.100000000000001" customHeight="1" x14ac:dyDescent="0.2">
      <c r="A534" s="377" t="s">
        <v>695</v>
      </c>
      <c r="B534" s="406" t="s">
        <v>220</v>
      </c>
      <c r="C534" s="371">
        <v>9</v>
      </c>
      <c r="D534" s="372">
        <v>7</v>
      </c>
      <c r="E534" s="371" t="s">
        <v>354</v>
      </c>
      <c r="F534" s="371" t="s">
        <v>321</v>
      </c>
      <c r="G534" s="371" t="s">
        <v>215</v>
      </c>
      <c r="H534" s="371" t="s">
        <v>770</v>
      </c>
      <c r="I534" s="371" t="s">
        <v>369</v>
      </c>
      <c r="J534" s="398" t="s">
        <v>313</v>
      </c>
      <c r="K534" s="400" t="str">
        <f>IF(O534="Zauberspruch",L534,O534)</f>
        <v>Zerstören</v>
      </c>
      <c r="L534" s="373" t="s">
        <v>141</v>
      </c>
      <c r="M534" s="374" t="s">
        <v>322</v>
      </c>
      <c r="N534" s="374" t="s">
        <v>314</v>
      </c>
      <c r="O534" s="373" t="s">
        <v>166</v>
      </c>
      <c r="P534" s="368" t="s">
        <v>696</v>
      </c>
      <c r="Q534" s="367" t="s">
        <v>748</v>
      </c>
      <c r="R534" s="367">
        <v>126</v>
      </c>
    </row>
    <row r="535" spans="1:18" ht="20.100000000000001" customHeight="1" x14ac:dyDescent="0.2">
      <c r="A535" s="377" t="s">
        <v>1641</v>
      </c>
      <c r="B535" s="406" t="s">
        <v>220</v>
      </c>
      <c r="C535" s="371">
        <v>2</v>
      </c>
      <c r="D535" s="372">
        <v>1</v>
      </c>
      <c r="E535" s="371" t="s">
        <v>299</v>
      </c>
      <c r="F535" s="371" t="s">
        <v>75</v>
      </c>
      <c r="G535" s="371" t="s">
        <v>215</v>
      </c>
      <c r="H535" s="371" t="s">
        <v>770</v>
      </c>
      <c r="I535" s="371" t="s">
        <v>306</v>
      </c>
      <c r="J535" s="398" t="s">
        <v>300</v>
      </c>
      <c r="K535" s="400" t="str">
        <f>IF(O535="Zauberspruch",L535,O535)</f>
        <v>Zauberrune</v>
      </c>
      <c r="L535" s="373" t="s">
        <v>137</v>
      </c>
      <c r="M535" s="374" t="s">
        <v>322</v>
      </c>
      <c r="N535" s="374" t="s">
        <v>314</v>
      </c>
      <c r="O535" s="404" t="s">
        <v>1601</v>
      </c>
      <c r="P535" s="368" t="s">
        <v>1745</v>
      </c>
      <c r="Q535" s="367" t="s">
        <v>1321</v>
      </c>
      <c r="R535" s="367">
        <v>80</v>
      </c>
    </row>
    <row r="536" spans="1:18" ht="20.100000000000001" customHeight="1" x14ac:dyDescent="0.2">
      <c r="A536" s="377" t="s">
        <v>697</v>
      </c>
      <c r="B536" s="406" t="s">
        <v>220</v>
      </c>
      <c r="C536" s="371">
        <v>9</v>
      </c>
      <c r="D536" s="372">
        <v>6</v>
      </c>
      <c r="E536" s="371" t="s">
        <v>354</v>
      </c>
      <c r="F536" s="371" t="s">
        <v>321</v>
      </c>
      <c r="G536" s="371" t="s">
        <v>215</v>
      </c>
      <c r="H536" s="371" t="s">
        <v>777</v>
      </c>
      <c r="I536" s="371" t="s">
        <v>306</v>
      </c>
      <c r="J536" s="398" t="s">
        <v>300</v>
      </c>
      <c r="K536" s="400" t="str">
        <f>IF(O536="Zauberspruch",L536,O536)</f>
        <v>Erkennen</v>
      </c>
      <c r="L536" s="373" t="s">
        <v>143</v>
      </c>
      <c r="M536" s="374" t="s">
        <v>322</v>
      </c>
      <c r="N536" s="374" t="s">
        <v>322</v>
      </c>
      <c r="O536" s="373" t="s">
        <v>166</v>
      </c>
      <c r="P536" s="368" t="s">
        <v>698</v>
      </c>
      <c r="Q536" s="367" t="s">
        <v>748</v>
      </c>
      <c r="R536" s="367">
        <v>126</v>
      </c>
    </row>
    <row r="537" spans="1:18" ht="20.100000000000001" customHeight="1" x14ac:dyDescent="0.2">
      <c r="A537" s="377" t="s">
        <v>699</v>
      </c>
      <c r="B537" s="406" t="s">
        <v>220</v>
      </c>
      <c r="C537" s="371">
        <v>2</v>
      </c>
      <c r="D537" s="371">
        <v>1</v>
      </c>
      <c r="E537" s="371" t="s">
        <v>304</v>
      </c>
      <c r="F537" s="371" t="s">
        <v>332</v>
      </c>
      <c r="G537" s="371" t="s">
        <v>217</v>
      </c>
      <c r="H537" s="371" t="s">
        <v>776</v>
      </c>
      <c r="I537" s="371" t="s">
        <v>306</v>
      </c>
      <c r="J537" s="398" t="s">
        <v>307</v>
      </c>
      <c r="K537" s="400" t="str">
        <f>IF(O537="Zauberspruch",L537,O537)</f>
        <v>Dweomer</v>
      </c>
      <c r="L537" s="373" t="s">
        <v>148</v>
      </c>
      <c r="M537" s="373" t="s">
        <v>301</v>
      </c>
      <c r="N537" s="373" t="s">
        <v>302</v>
      </c>
      <c r="O537" s="376" t="s">
        <v>146</v>
      </c>
      <c r="P537" s="394" t="s">
        <v>700</v>
      </c>
      <c r="Q537" s="367" t="s">
        <v>748</v>
      </c>
      <c r="R537" s="367">
        <v>160</v>
      </c>
    </row>
    <row r="538" spans="1:18" ht="20.100000000000001" customHeight="1" x14ac:dyDescent="0.2">
      <c r="A538" s="377" t="s">
        <v>1466</v>
      </c>
      <c r="B538" s="406" t="s">
        <v>218</v>
      </c>
      <c r="C538" s="371">
        <v>2</v>
      </c>
      <c r="D538" s="372">
        <v>1</v>
      </c>
      <c r="E538" s="371" t="s">
        <v>304</v>
      </c>
      <c r="F538" s="371" t="s">
        <v>472</v>
      </c>
      <c r="G538" s="371" t="s">
        <v>217</v>
      </c>
      <c r="H538" s="371" t="s">
        <v>588</v>
      </c>
      <c r="I538" s="371" t="s">
        <v>306</v>
      </c>
      <c r="J538" s="398" t="s">
        <v>313</v>
      </c>
      <c r="K538" s="400" t="str">
        <f>IF(O538="Zauberspruch",L538,O538)</f>
        <v>Zaubersalz</v>
      </c>
      <c r="L538" s="373" t="s">
        <v>148</v>
      </c>
      <c r="M538" s="374" t="s">
        <v>322</v>
      </c>
      <c r="N538" s="374" t="s">
        <v>319</v>
      </c>
      <c r="O538" s="404" t="s">
        <v>1439</v>
      </c>
      <c r="P538" s="368" t="s">
        <v>1706</v>
      </c>
      <c r="Q538" s="367" t="s">
        <v>1321</v>
      </c>
      <c r="R538" s="367">
        <v>50</v>
      </c>
    </row>
    <row r="539" spans="1:18" ht="20.100000000000001" customHeight="1" x14ac:dyDescent="0.2">
      <c r="A539" s="377" t="s">
        <v>701</v>
      </c>
      <c r="B539" s="406" t="s">
        <v>220</v>
      </c>
      <c r="C539" s="371">
        <v>9</v>
      </c>
      <c r="D539" s="372">
        <v>6</v>
      </c>
      <c r="E539" s="371" t="s">
        <v>306</v>
      </c>
      <c r="F539" s="371" t="s">
        <v>25</v>
      </c>
      <c r="G539" s="371" t="s">
        <v>217</v>
      </c>
      <c r="H539" s="371" t="s">
        <v>75</v>
      </c>
      <c r="I539" s="371" t="s">
        <v>347</v>
      </c>
      <c r="J539" s="398" t="s">
        <v>328</v>
      </c>
      <c r="K539" s="400" t="str">
        <f>IF(O539="Zauberspruch",L539,O539)</f>
        <v>Formen</v>
      </c>
      <c r="L539" s="373" t="s">
        <v>148</v>
      </c>
      <c r="M539" s="374" t="s">
        <v>322</v>
      </c>
      <c r="N539" s="374" t="s">
        <v>302</v>
      </c>
      <c r="O539" s="373" t="s">
        <v>166</v>
      </c>
      <c r="P539" s="368" t="s">
        <v>75</v>
      </c>
      <c r="Q539" s="367" t="s">
        <v>748</v>
      </c>
      <c r="R539" s="367">
        <v>127</v>
      </c>
    </row>
    <row r="540" spans="1:18" ht="20.100000000000001" customHeight="1" x14ac:dyDescent="0.2">
      <c r="A540" s="377" t="s">
        <v>1587</v>
      </c>
      <c r="B540" s="406" t="s">
        <v>219</v>
      </c>
      <c r="C540" s="371">
        <v>9</v>
      </c>
      <c r="D540" s="372">
        <v>6</v>
      </c>
      <c r="E540" s="371" t="s">
        <v>304</v>
      </c>
      <c r="F540" s="371" t="s">
        <v>25</v>
      </c>
      <c r="G540" s="371" t="s">
        <v>217</v>
      </c>
      <c r="H540" s="371" t="s">
        <v>536</v>
      </c>
      <c r="I540" s="371" t="s">
        <v>347</v>
      </c>
      <c r="J540" s="398" t="s">
        <v>328</v>
      </c>
      <c r="K540" s="400" t="str">
        <f>IF(O540="Zauberspruch",L540,O540)</f>
        <v>Zaubersiegel</v>
      </c>
      <c r="L540" s="373" t="s">
        <v>148</v>
      </c>
      <c r="M540" s="374" t="s">
        <v>322</v>
      </c>
      <c r="N540" s="374" t="s">
        <v>302</v>
      </c>
      <c r="O540" s="404" t="s">
        <v>1322</v>
      </c>
      <c r="P540" s="368" t="s">
        <v>1500</v>
      </c>
      <c r="Q540" s="367" t="s">
        <v>1321</v>
      </c>
      <c r="R540" s="367">
        <v>64</v>
      </c>
    </row>
    <row r="541" spans="1:18" ht="20.100000000000001" customHeight="1" x14ac:dyDescent="0.2">
      <c r="A541" s="377" t="s">
        <v>702</v>
      </c>
      <c r="B541" s="406" t="s">
        <v>220</v>
      </c>
      <c r="C541" s="371">
        <v>3</v>
      </c>
      <c r="D541" s="372">
        <v>2</v>
      </c>
      <c r="E541" s="371" t="s">
        <v>311</v>
      </c>
      <c r="F541" s="371" t="s">
        <v>332</v>
      </c>
      <c r="G541" s="371" t="s">
        <v>215</v>
      </c>
      <c r="H541" s="371" t="s">
        <v>778</v>
      </c>
      <c r="I541" s="371" t="s">
        <v>306</v>
      </c>
      <c r="J541" s="398" t="s">
        <v>313</v>
      </c>
      <c r="K541" s="400" t="str">
        <f>IF(O541="Zauberspruch",L541,O541)</f>
        <v>Erkennen</v>
      </c>
      <c r="L541" s="373" t="s">
        <v>143</v>
      </c>
      <c r="M541" s="374" t="s">
        <v>314</v>
      </c>
      <c r="N541" s="374" t="s">
        <v>329</v>
      </c>
      <c r="O541" s="373" t="s">
        <v>166</v>
      </c>
      <c r="P541" s="368" t="s">
        <v>703</v>
      </c>
      <c r="Q541" s="367" t="s">
        <v>748</v>
      </c>
      <c r="R541" s="367">
        <v>127</v>
      </c>
    </row>
    <row r="542" spans="1:18" ht="20.100000000000001" customHeight="1" x14ac:dyDescent="0.2">
      <c r="A542" s="377" t="s">
        <v>1491</v>
      </c>
      <c r="B542" s="406" t="s">
        <v>220</v>
      </c>
      <c r="C542" s="371">
        <v>3</v>
      </c>
      <c r="D542" s="372">
        <v>2</v>
      </c>
      <c r="E542" s="371" t="s">
        <v>304</v>
      </c>
      <c r="F542" s="371" t="s">
        <v>332</v>
      </c>
      <c r="G542" s="371" t="s">
        <v>215</v>
      </c>
      <c r="H542" s="371" t="s">
        <v>778</v>
      </c>
      <c r="I542" s="371" t="s">
        <v>306</v>
      </c>
      <c r="J542" s="398" t="s">
        <v>313</v>
      </c>
      <c r="K542" s="400" t="str">
        <f>IF(O542="Zauberspruch",L542,O542)</f>
        <v>Runenstab</v>
      </c>
      <c r="L542" s="373" t="s">
        <v>143</v>
      </c>
      <c r="M542" s="374" t="s">
        <v>314</v>
      </c>
      <c r="N542" s="374" t="s">
        <v>329</v>
      </c>
      <c r="O542" s="404" t="s">
        <v>1472</v>
      </c>
      <c r="P542" s="368" t="s">
        <v>75</v>
      </c>
      <c r="Q542" s="367" t="s">
        <v>1321</v>
      </c>
      <c r="R542" s="367">
        <v>52</v>
      </c>
    </row>
    <row r="543" spans="1:18" ht="20.100000000000001" customHeight="1" x14ac:dyDescent="0.2">
      <c r="A543" s="377" t="s">
        <v>704</v>
      </c>
      <c r="B543" s="406" t="s">
        <v>220</v>
      </c>
      <c r="C543" s="371">
        <v>3</v>
      </c>
      <c r="D543" s="372">
        <v>2</v>
      </c>
      <c r="E543" s="371" t="s">
        <v>311</v>
      </c>
      <c r="F543" s="371" t="s">
        <v>25</v>
      </c>
      <c r="G543" s="371" t="s">
        <v>216</v>
      </c>
      <c r="H543" s="371" t="s">
        <v>770</v>
      </c>
      <c r="I543" s="371" t="s">
        <v>338</v>
      </c>
      <c r="J543" s="398" t="s">
        <v>328</v>
      </c>
      <c r="K543" s="400" t="str">
        <f>IF(O543="Zauberspruch",L543,O543)</f>
        <v>Verändern</v>
      </c>
      <c r="L543" s="373" t="s">
        <v>138</v>
      </c>
      <c r="M543" s="374" t="s">
        <v>314</v>
      </c>
      <c r="N543" s="374" t="s">
        <v>309</v>
      </c>
      <c r="O543" s="373" t="s">
        <v>166</v>
      </c>
      <c r="P543" s="368" t="s">
        <v>75</v>
      </c>
      <c r="Q543" s="367" t="s">
        <v>748</v>
      </c>
      <c r="R543" s="367">
        <v>127</v>
      </c>
    </row>
    <row r="544" spans="1:18" ht="20.100000000000001" customHeight="1" x14ac:dyDescent="0.2">
      <c r="A544" s="377" t="s">
        <v>1588</v>
      </c>
      <c r="B544" s="406" t="s">
        <v>219</v>
      </c>
      <c r="C544" s="371">
        <v>3</v>
      </c>
      <c r="D544" s="372">
        <v>2</v>
      </c>
      <c r="E544" s="371" t="s">
        <v>304</v>
      </c>
      <c r="F544" s="371" t="s">
        <v>25</v>
      </c>
      <c r="G544" s="371" t="s">
        <v>216</v>
      </c>
      <c r="H544" s="371" t="s">
        <v>770</v>
      </c>
      <c r="I544" s="371" t="s">
        <v>338</v>
      </c>
      <c r="J544" s="398" t="s">
        <v>328</v>
      </c>
      <c r="K544" s="400" t="str">
        <f>IF(O544="Zauberspruch",L544,O544)</f>
        <v>Zaubersiegel</v>
      </c>
      <c r="L544" s="373" t="s">
        <v>138</v>
      </c>
      <c r="M544" s="374" t="s">
        <v>314</v>
      </c>
      <c r="N544" s="374" t="s">
        <v>309</v>
      </c>
      <c r="O544" s="404" t="s">
        <v>1322</v>
      </c>
      <c r="P544" s="368" t="s">
        <v>1589</v>
      </c>
      <c r="Q544" s="367" t="s">
        <v>1321</v>
      </c>
      <c r="R544" s="367">
        <v>64</v>
      </c>
    </row>
    <row r="545" spans="1:18" ht="20.100000000000001" customHeight="1" x14ac:dyDescent="0.2">
      <c r="A545" s="377" t="s">
        <v>705</v>
      </c>
      <c r="B545" s="406" t="s">
        <v>218</v>
      </c>
      <c r="C545" s="371">
        <v>5</v>
      </c>
      <c r="D545" s="372">
        <v>3</v>
      </c>
      <c r="E545" s="371" t="s">
        <v>354</v>
      </c>
      <c r="F545" s="371" t="s">
        <v>75</v>
      </c>
      <c r="G545" s="371" t="s">
        <v>216</v>
      </c>
      <c r="H545" s="371" t="s">
        <v>791</v>
      </c>
      <c r="I545" s="371" t="s">
        <v>306</v>
      </c>
      <c r="J545" s="398" t="s">
        <v>328</v>
      </c>
      <c r="K545" s="400" t="str">
        <f>IF(O545="Zauberspruch",L545,O545)</f>
        <v>Bewegen</v>
      </c>
      <c r="L545" s="373" t="s">
        <v>140</v>
      </c>
      <c r="M545" s="374" t="s">
        <v>309</v>
      </c>
      <c r="N545" s="374" t="s">
        <v>302</v>
      </c>
      <c r="O545" s="373" t="s">
        <v>166</v>
      </c>
      <c r="P545" s="368" t="s">
        <v>75</v>
      </c>
      <c r="Q545" s="367" t="s">
        <v>748</v>
      </c>
      <c r="R545" s="367">
        <v>127</v>
      </c>
    </row>
    <row r="546" spans="1:18" ht="20.100000000000001" customHeight="1" x14ac:dyDescent="0.2">
      <c r="A546" s="377" t="s">
        <v>1590</v>
      </c>
      <c r="B546" s="406" t="s">
        <v>219</v>
      </c>
      <c r="C546" s="371">
        <v>5</v>
      </c>
      <c r="D546" s="372">
        <v>3</v>
      </c>
      <c r="E546" s="371" t="s">
        <v>304</v>
      </c>
      <c r="F546" s="371" t="s">
        <v>75</v>
      </c>
      <c r="G546" s="371" t="s">
        <v>216</v>
      </c>
      <c r="H546" s="371" t="s">
        <v>770</v>
      </c>
      <c r="I546" s="371" t="s">
        <v>306</v>
      </c>
      <c r="J546" s="398" t="s">
        <v>328</v>
      </c>
      <c r="K546" s="400" t="str">
        <f>IF(O546="Zauberspruch",L546,O546)</f>
        <v>Zaubersiegel</v>
      </c>
      <c r="L546" s="373" t="s">
        <v>140</v>
      </c>
      <c r="M546" s="374" t="s">
        <v>309</v>
      </c>
      <c r="N546" s="374" t="s">
        <v>302</v>
      </c>
      <c r="O546" s="404" t="s">
        <v>1322</v>
      </c>
      <c r="P546" s="368" t="s">
        <v>1541</v>
      </c>
      <c r="Q546" s="367" t="s">
        <v>1321</v>
      </c>
      <c r="R546" s="367">
        <v>66</v>
      </c>
    </row>
    <row r="547" spans="1:18" ht="20.100000000000001" customHeight="1" x14ac:dyDescent="0.2">
      <c r="A547" s="416" t="s">
        <v>706</v>
      </c>
      <c r="B547" s="417" t="s">
        <v>220</v>
      </c>
      <c r="C547" s="418">
        <v>10</v>
      </c>
      <c r="D547" s="419">
        <v>6</v>
      </c>
      <c r="E547" s="418" t="s">
        <v>354</v>
      </c>
      <c r="F547" s="418" t="s">
        <v>75</v>
      </c>
      <c r="G547" s="418" t="s">
        <v>217</v>
      </c>
      <c r="H547" s="418" t="s">
        <v>775</v>
      </c>
      <c r="I547" s="418" t="s">
        <v>493</v>
      </c>
      <c r="J547" s="418" t="s">
        <v>328</v>
      </c>
      <c r="K547" s="420" t="str">
        <f>IF(O547="Zauberspruch",L547,O547)</f>
        <v>Bewegen</v>
      </c>
      <c r="L547" s="420" t="s">
        <v>140</v>
      </c>
      <c r="M547" s="421" t="s">
        <v>309</v>
      </c>
      <c r="N547" s="421" t="s">
        <v>309</v>
      </c>
      <c r="O547" s="420" t="s">
        <v>166</v>
      </c>
      <c r="P547" s="422" t="s">
        <v>552</v>
      </c>
      <c r="Q547" s="423" t="s">
        <v>748</v>
      </c>
      <c r="R547" s="423">
        <v>128</v>
      </c>
    </row>
    <row r="548" spans="1:18" s="9" customFormat="1" ht="20.100000000000001" customHeight="1" x14ac:dyDescent="0.2">
      <c r="A548" s="428" t="s">
        <v>1467</v>
      </c>
      <c r="B548" s="429" t="s">
        <v>218</v>
      </c>
      <c r="C548" s="429">
        <v>2</v>
      </c>
      <c r="D548" s="432">
        <v>1</v>
      </c>
      <c r="E548" s="429" t="s">
        <v>304</v>
      </c>
      <c r="F548" s="429" t="s">
        <v>472</v>
      </c>
      <c r="G548" s="429" t="s">
        <v>216</v>
      </c>
      <c r="H548" s="429" t="s">
        <v>770</v>
      </c>
      <c r="I548" s="429">
        <v>0</v>
      </c>
      <c r="J548" s="429" t="s">
        <v>313</v>
      </c>
      <c r="K548" s="424" t="str">
        <f>IF(O548="Zauberspruch",L548,O548)</f>
        <v>Zaubersalz</v>
      </c>
      <c r="L548" s="424" t="s">
        <v>137</v>
      </c>
      <c r="M548" s="428" t="s">
        <v>309</v>
      </c>
      <c r="N548" s="428" t="s">
        <v>302</v>
      </c>
      <c r="O548" s="426" t="s">
        <v>1439</v>
      </c>
      <c r="P548" s="1232" t="s">
        <v>1706</v>
      </c>
      <c r="Q548" s="425" t="s">
        <v>1321</v>
      </c>
      <c r="R548" s="425">
        <v>50</v>
      </c>
    </row>
    <row r="549" spans="1:18" s="9" customFormat="1" ht="20.100000000000001" customHeight="1" x14ac:dyDescent="0.2">
      <c r="A549" s="428" t="s">
        <v>707</v>
      </c>
      <c r="B549" s="429" t="s">
        <v>220</v>
      </c>
      <c r="C549" s="429">
        <v>8</v>
      </c>
      <c r="D549" s="432">
        <v>4</v>
      </c>
      <c r="E549" s="429" t="s">
        <v>354</v>
      </c>
      <c r="F549" s="429" t="s">
        <v>400</v>
      </c>
      <c r="G549" s="429" t="s">
        <v>217</v>
      </c>
      <c r="H549" s="429" t="s">
        <v>374</v>
      </c>
      <c r="I549" s="429" t="s">
        <v>453</v>
      </c>
      <c r="J549" s="429" t="s">
        <v>328</v>
      </c>
      <c r="K549" s="424" t="str">
        <f>IF(O549="Zauberspruch",L549,O549)</f>
        <v>Erschaffen</v>
      </c>
      <c r="L549" s="424" t="s">
        <v>145</v>
      </c>
      <c r="M549" s="428" t="s">
        <v>309</v>
      </c>
      <c r="N549" s="428" t="s">
        <v>309</v>
      </c>
      <c r="O549" s="424" t="s">
        <v>166</v>
      </c>
      <c r="P549" s="1232" t="s">
        <v>708</v>
      </c>
      <c r="Q549" s="425" t="s">
        <v>748</v>
      </c>
      <c r="R549" s="425">
        <v>128</v>
      </c>
    </row>
    <row r="550" spans="1:18" s="9" customFormat="1" ht="20.100000000000001" customHeight="1" x14ac:dyDescent="0.2">
      <c r="A550" s="428" t="s">
        <v>1492</v>
      </c>
      <c r="B550" s="429" t="s">
        <v>220</v>
      </c>
      <c r="C550" s="429">
        <v>8</v>
      </c>
      <c r="D550" s="432">
        <v>4</v>
      </c>
      <c r="E550" s="429" t="s">
        <v>304</v>
      </c>
      <c r="F550" s="429" t="s">
        <v>400</v>
      </c>
      <c r="G550" s="429" t="s">
        <v>217</v>
      </c>
      <c r="H550" s="429" t="s">
        <v>374</v>
      </c>
      <c r="I550" s="429" t="s">
        <v>453</v>
      </c>
      <c r="J550" s="429" t="s">
        <v>328</v>
      </c>
      <c r="K550" s="424" t="str">
        <f>IF(O550="Zauberspruch",L550,O550)</f>
        <v>Runenstab</v>
      </c>
      <c r="L550" s="424" t="s">
        <v>145</v>
      </c>
      <c r="M550" s="428" t="s">
        <v>309</v>
      </c>
      <c r="N550" s="428" t="s">
        <v>309</v>
      </c>
      <c r="O550" s="426" t="s">
        <v>1472</v>
      </c>
      <c r="P550" s="1232" t="s">
        <v>75</v>
      </c>
      <c r="Q550" s="425" t="s">
        <v>1321</v>
      </c>
      <c r="R550" s="425">
        <v>53</v>
      </c>
    </row>
    <row r="551" spans="1:18" s="9" customFormat="1" ht="20.100000000000001" customHeight="1" x14ac:dyDescent="0.2">
      <c r="A551" s="428" t="s">
        <v>1770</v>
      </c>
      <c r="B551" s="429" t="s">
        <v>220</v>
      </c>
      <c r="C551" s="429">
        <v>7</v>
      </c>
      <c r="D551" s="429">
        <v>4</v>
      </c>
      <c r="E551" s="429" t="s">
        <v>306</v>
      </c>
      <c r="F551" s="429" t="s">
        <v>1771</v>
      </c>
      <c r="G551" s="429" t="s">
        <v>217</v>
      </c>
      <c r="H551" s="429" t="s">
        <v>1789</v>
      </c>
      <c r="I551" s="429" t="s">
        <v>311</v>
      </c>
      <c r="J551" s="429" t="s">
        <v>328</v>
      </c>
      <c r="K551" s="424" t="str">
        <f>IF(O551="Zauberspruch",L551,O551)</f>
        <v>Bewegen</v>
      </c>
      <c r="L551" s="424" t="s">
        <v>140</v>
      </c>
      <c r="M551" s="424" t="s">
        <v>322</v>
      </c>
      <c r="N551" s="424" t="s">
        <v>309</v>
      </c>
      <c r="O551" s="424" t="s">
        <v>166</v>
      </c>
      <c r="P551" s="427" t="s">
        <v>1822</v>
      </c>
      <c r="Q551" s="425" t="s">
        <v>1872</v>
      </c>
      <c r="R551" s="425">
        <v>14</v>
      </c>
    </row>
    <row r="552" spans="1:18" s="9" customFormat="1" ht="20.100000000000001" customHeight="1" x14ac:dyDescent="0.2">
      <c r="A552" s="428" t="s">
        <v>1786</v>
      </c>
      <c r="B552" s="429" t="s">
        <v>219</v>
      </c>
      <c r="C552" s="429">
        <v>7</v>
      </c>
      <c r="D552" s="429">
        <v>4</v>
      </c>
      <c r="E552" s="429" t="s">
        <v>304</v>
      </c>
      <c r="F552" s="432" t="s">
        <v>1771</v>
      </c>
      <c r="G552" s="429" t="s">
        <v>217</v>
      </c>
      <c r="H552" s="429" t="s">
        <v>1789</v>
      </c>
      <c r="I552" s="429" t="s">
        <v>311</v>
      </c>
      <c r="J552" s="429" t="s">
        <v>328</v>
      </c>
      <c r="K552" s="424" t="str">
        <f>IF(O552="Zauberspruch",L552,O552)</f>
        <v>Zaubersiegel</v>
      </c>
      <c r="L552" s="424" t="s">
        <v>140</v>
      </c>
      <c r="M552" s="424" t="s">
        <v>322</v>
      </c>
      <c r="N552" s="424" t="s">
        <v>309</v>
      </c>
      <c r="O552" s="426" t="s">
        <v>1322</v>
      </c>
      <c r="P552" s="427" t="s">
        <v>1822</v>
      </c>
      <c r="Q552" s="425" t="s">
        <v>1797</v>
      </c>
      <c r="R552" s="425">
        <v>6</v>
      </c>
    </row>
    <row r="553" spans="1:18" s="9" customFormat="1" ht="20.100000000000001" customHeight="1" x14ac:dyDescent="0.2">
      <c r="A553" s="428" t="s">
        <v>709</v>
      </c>
      <c r="B553" s="429" t="s">
        <v>220</v>
      </c>
      <c r="C553" s="429">
        <v>7</v>
      </c>
      <c r="D553" s="432">
        <v>4</v>
      </c>
      <c r="E553" s="429" t="s">
        <v>354</v>
      </c>
      <c r="F553" s="429" t="s">
        <v>363</v>
      </c>
      <c r="G553" s="429" t="s">
        <v>217</v>
      </c>
      <c r="H553" s="429" t="s">
        <v>792</v>
      </c>
      <c r="I553" s="429" t="s">
        <v>397</v>
      </c>
      <c r="J553" s="429" t="s">
        <v>328</v>
      </c>
      <c r="K553" s="424" t="str">
        <f>IF(O553="Zauberspruch",L553,O553)</f>
        <v>Formen</v>
      </c>
      <c r="L553" s="424" t="s">
        <v>148</v>
      </c>
      <c r="M553" s="428" t="s">
        <v>329</v>
      </c>
      <c r="N553" s="428" t="s">
        <v>309</v>
      </c>
      <c r="O553" s="424" t="s">
        <v>166</v>
      </c>
      <c r="P553" s="1232" t="s">
        <v>710</v>
      </c>
      <c r="Q553" s="425" t="s">
        <v>748</v>
      </c>
      <c r="R553" s="425">
        <v>128</v>
      </c>
    </row>
    <row r="554" spans="1:18" s="9" customFormat="1" ht="20.100000000000001" customHeight="1" x14ac:dyDescent="0.2">
      <c r="A554" s="428" t="s">
        <v>1399</v>
      </c>
      <c r="B554" s="429" t="s">
        <v>220</v>
      </c>
      <c r="C554" s="429">
        <v>1</v>
      </c>
      <c r="D554" s="432">
        <v>1</v>
      </c>
      <c r="E554" s="429" t="s">
        <v>299</v>
      </c>
      <c r="F554" s="429" t="s">
        <v>332</v>
      </c>
      <c r="G554" s="429" t="s">
        <v>217</v>
      </c>
      <c r="H554" s="430" t="s">
        <v>774</v>
      </c>
      <c r="I554" s="429" t="s">
        <v>369</v>
      </c>
      <c r="J554" s="429" t="s">
        <v>300</v>
      </c>
      <c r="K554" s="424" t="str">
        <f>IF(O554="Zauberspruch",L554,O554)</f>
        <v>Wundertat</v>
      </c>
      <c r="L554" s="424" t="s">
        <v>148</v>
      </c>
      <c r="M554" s="428" t="s">
        <v>314</v>
      </c>
      <c r="N554" s="428" t="s">
        <v>309</v>
      </c>
      <c r="O554" s="426" t="s">
        <v>1183</v>
      </c>
      <c r="P554" s="1232" t="s">
        <v>75</v>
      </c>
      <c r="Q554" s="425" t="s">
        <v>1321</v>
      </c>
      <c r="R554" s="425">
        <v>91</v>
      </c>
    </row>
    <row r="555" spans="1:18" s="9" customFormat="1" ht="20.100000000000001" customHeight="1" x14ac:dyDescent="0.2">
      <c r="A555" s="428" t="s">
        <v>1642</v>
      </c>
      <c r="B555" s="429" t="s">
        <v>220</v>
      </c>
      <c r="C555" s="429">
        <v>7</v>
      </c>
      <c r="D555" s="432">
        <v>4</v>
      </c>
      <c r="E555" s="429" t="s">
        <v>299</v>
      </c>
      <c r="F555" s="429" t="s">
        <v>75</v>
      </c>
      <c r="G555" s="429" t="s">
        <v>217</v>
      </c>
      <c r="H555" s="429" t="s">
        <v>775</v>
      </c>
      <c r="I555" s="429">
        <v>0</v>
      </c>
      <c r="J555" s="429" t="s">
        <v>300</v>
      </c>
      <c r="K555" s="424" t="str">
        <f>IF(O555="Zauberspruch",L555,O555)</f>
        <v>Zauberrune</v>
      </c>
      <c r="L555" s="424" t="s">
        <v>141</v>
      </c>
      <c r="M555" s="428" t="s">
        <v>319</v>
      </c>
      <c r="N555" s="428" t="s">
        <v>322</v>
      </c>
      <c r="O555" s="426" t="s">
        <v>1601</v>
      </c>
      <c r="P555" s="1232" t="s">
        <v>1746</v>
      </c>
      <c r="Q555" s="425" t="s">
        <v>1321</v>
      </c>
      <c r="R555" s="425">
        <v>80</v>
      </c>
    </row>
    <row r="556" spans="1:18" s="9" customFormat="1" ht="20.100000000000001" customHeight="1" x14ac:dyDescent="0.2">
      <c r="A556" s="428" t="s">
        <v>1591</v>
      </c>
      <c r="B556" s="429" t="s">
        <v>219</v>
      </c>
      <c r="C556" s="429">
        <v>10</v>
      </c>
      <c r="D556" s="432">
        <v>8</v>
      </c>
      <c r="E556" s="429" t="s">
        <v>304</v>
      </c>
      <c r="F556" s="429" t="s">
        <v>332</v>
      </c>
      <c r="G556" s="429" t="s">
        <v>217</v>
      </c>
      <c r="H556" s="429" t="s">
        <v>780</v>
      </c>
      <c r="I556" s="429" t="s">
        <v>338</v>
      </c>
      <c r="J556" s="429" t="s">
        <v>313</v>
      </c>
      <c r="K556" s="424" t="str">
        <f>IF(O556="Zauberspruch",L556,O556)</f>
        <v>Zaubersiegel</v>
      </c>
      <c r="L556" s="424" t="s">
        <v>148</v>
      </c>
      <c r="M556" s="428" t="s">
        <v>322</v>
      </c>
      <c r="N556" s="428" t="s">
        <v>309</v>
      </c>
      <c r="O556" s="426" t="s">
        <v>1322</v>
      </c>
      <c r="P556" s="1232" t="s">
        <v>1506</v>
      </c>
      <c r="Q556" s="425" t="s">
        <v>1321</v>
      </c>
      <c r="R556" s="425">
        <v>66</v>
      </c>
    </row>
    <row r="557" spans="1:18" s="9" customFormat="1" ht="20.100000000000001" customHeight="1" x14ac:dyDescent="0.2">
      <c r="A557" s="428" t="s">
        <v>1468</v>
      </c>
      <c r="B557" s="429" t="s">
        <v>218</v>
      </c>
      <c r="C557" s="429">
        <v>1</v>
      </c>
      <c r="D557" s="432">
        <v>1</v>
      </c>
      <c r="E557" s="429" t="s">
        <v>304</v>
      </c>
      <c r="F557" s="429" t="s">
        <v>472</v>
      </c>
      <c r="G557" s="429" t="s">
        <v>216</v>
      </c>
      <c r="H557" s="429" t="s">
        <v>770</v>
      </c>
      <c r="I557" s="429" t="s">
        <v>311</v>
      </c>
      <c r="J557" s="429" t="s">
        <v>313</v>
      </c>
      <c r="K557" s="424" t="str">
        <f>IF(O557="Zauberspruch",L557,O557)</f>
        <v>Zaubersalz</v>
      </c>
      <c r="L557" s="424" t="s">
        <v>140</v>
      </c>
      <c r="M557" s="428" t="s">
        <v>322</v>
      </c>
      <c r="N557" s="428" t="s">
        <v>302</v>
      </c>
      <c r="O557" s="426" t="s">
        <v>1439</v>
      </c>
      <c r="P557" s="1232" t="s">
        <v>1706</v>
      </c>
      <c r="Q557" s="425" t="s">
        <v>1321</v>
      </c>
      <c r="R557" s="425">
        <v>50</v>
      </c>
    </row>
    <row r="558" spans="1:18" s="9" customFormat="1" ht="20.100000000000001" customHeight="1" x14ac:dyDescent="0.2">
      <c r="A558" s="428" t="s">
        <v>1400</v>
      </c>
      <c r="B558" s="429" t="s">
        <v>220</v>
      </c>
      <c r="C558" s="429">
        <v>11</v>
      </c>
      <c r="D558" s="432">
        <v>12</v>
      </c>
      <c r="E558" s="429" t="s">
        <v>299</v>
      </c>
      <c r="F558" s="429" t="s">
        <v>332</v>
      </c>
      <c r="G558" s="429" t="s">
        <v>217</v>
      </c>
      <c r="H558" s="430" t="s">
        <v>774</v>
      </c>
      <c r="I558" s="429" t="s">
        <v>369</v>
      </c>
      <c r="J558" s="429" t="s">
        <v>300</v>
      </c>
      <c r="K558" s="424" t="str">
        <f>IF(O558="Zauberspruch",L558,O558)</f>
        <v>Wundertat</v>
      </c>
      <c r="L558" s="424" t="s">
        <v>148</v>
      </c>
      <c r="M558" s="428" t="s">
        <v>314</v>
      </c>
      <c r="N558" s="428" t="s">
        <v>322</v>
      </c>
      <c r="O558" s="426" t="s">
        <v>1183</v>
      </c>
      <c r="P558" s="1232" t="s">
        <v>75</v>
      </c>
      <c r="Q558" s="425" t="s">
        <v>1321</v>
      </c>
      <c r="R558" s="425">
        <v>92</v>
      </c>
    </row>
    <row r="559" spans="1:18" s="9" customFormat="1" ht="20.100000000000001" customHeight="1" x14ac:dyDescent="0.2">
      <c r="A559" s="428" t="s">
        <v>1835</v>
      </c>
      <c r="B559" s="429" t="s">
        <v>220</v>
      </c>
      <c r="C559" s="429">
        <v>12</v>
      </c>
      <c r="D559" s="429" t="s">
        <v>1799</v>
      </c>
      <c r="E559" s="429" t="s">
        <v>532</v>
      </c>
      <c r="F559" s="429" t="s">
        <v>332</v>
      </c>
      <c r="G559" s="429" t="s">
        <v>217</v>
      </c>
      <c r="H559" s="429" t="s">
        <v>787</v>
      </c>
      <c r="I559" s="429" t="s">
        <v>369</v>
      </c>
      <c r="J559" s="429" t="s">
        <v>300</v>
      </c>
      <c r="K559" s="424" t="str">
        <f>IF(O559="Zauberspruch",L559,O559)</f>
        <v>Wundertat</v>
      </c>
      <c r="L559" s="424" t="s">
        <v>141</v>
      </c>
      <c r="M559" s="424" t="s">
        <v>322</v>
      </c>
      <c r="N559" s="424" t="s">
        <v>322</v>
      </c>
      <c r="O559" s="427" t="s">
        <v>1183</v>
      </c>
      <c r="P559" s="427" t="s">
        <v>1884</v>
      </c>
      <c r="Q559" s="425" t="s">
        <v>1872</v>
      </c>
      <c r="R559" s="425">
        <v>19</v>
      </c>
    </row>
    <row r="560" spans="1:18" s="9" customFormat="1" ht="20.100000000000001" customHeight="1" x14ac:dyDescent="0.2">
      <c r="A560" s="428" t="s">
        <v>1772</v>
      </c>
      <c r="B560" s="429" t="s">
        <v>220</v>
      </c>
      <c r="C560" s="429">
        <v>12</v>
      </c>
      <c r="D560" s="429">
        <v>36</v>
      </c>
      <c r="E560" s="429" t="s">
        <v>316</v>
      </c>
      <c r="F560" s="429" t="s">
        <v>335</v>
      </c>
      <c r="G560" s="429" t="s">
        <v>217</v>
      </c>
      <c r="H560" s="429" t="s">
        <v>1788</v>
      </c>
      <c r="I560" s="429" t="s">
        <v>348</v>
      </c>
      <c r="J560" s="429" t="s">
        <v>313</v>
      </c>
      <c r="K560" s="424" t="str">
        <f>IF(O560="Zauberspruch",L560,O560)</f>
        <v>Formen</v>
      </c>
      <c r="L560" s="424" t="s">
        <v>148</v>
      </c>
      <c r="M560" s="424" t="s">
        <v>322</v>
      </c>
      <c r="N560" s="424" t="s">
        <v>319</v>
      </c>
      <c r="O560" s="424" t="s">
        <v>166</v>
      </c>
      <c r="P560" s="427" t="s">
        <v>1867</v>
      </c>
      <c r="Q560" s="425" t="s">
        <v>1872</v>
      </c>
      <c r="R560" s="425">
        <v>14</v>
      </c>
    </row>
    <row r="561" spans="1:18" s="9" customFormat="1" ht="20.100000000000001" customHeight="1" x14ac:dyDescent="0.2">
      <c r="A561" s="428" t="s">
        <v>1787</v>
      </c>
      <c r="B561" s="429" t="s">
        <v>219</v>
      </c>
      <c r="C561" s="429">
        <v>12</v>
      </c>
      <c r="D561" s="429">
        <v>36</v>
      </c>
      <c r="E561" s="429" t="s">
        <v>304</v>
      </c>
      <c r="F561" s="432" t="s">
        <v>335</v>
      </c>
      <c r="G561" s="429" t="s">
        <v>217</v>
      </c>
      <c r="H561" s="429" t="s">
        <v>1788</v>
      </c>
      <c r="I561" s="429" t="s">
        <v>348</v>
      </c>
      <c r="J561" s="429" t="s">
        <v>313</v>
      </c>
      <c r="K561" s="424" t="str">
        <f>IF(O561="Zauberspruch",L561,O561)</f>
        <v>Zaubersiegel</v>
      </c>
      <c r="L561" s="424" t="s">
        <v>148</v>
      </c>
      <c r="M561" s="424" t="s">
        <v>322</v>
      </c>
      <c r="N561" s="424" t="s">
        <v>319</v>
      </c>
      <c r="O561" s="426" t="s">
        <v>1322</v>
      </c>
      <c r="P561" s="427" t="s">
        <v>1867</v>
      </c>
      <c r="Q561" s="425" t="s">
        <v>1797</v>
      </c>
      <c r="R561" s="425">
        <v>6</v>
      </c>
    </row>
    <row r="562" spans="1:18" s="9" customFormat="1" ht="20.100000000000001" customHeight="1" x14ac:dyDescent="0.2">
      <c r="A562" s="428" t="s">
        <v>1643</v>
      </c>
      <c r="B562" s="429" t="s">
        <v>220</v>
      </c>
      <c r="C562" s="429">
        <v>6</v>
      </c>
      <c r="D562" s="432">
        <v>9</v>
      </c>
      <c r="E562" s="429" t="s">
        <v>299</v>
      </c>
      <c r="F562" s="429" t="s">
        <v>75</v>
      </c>
      <c r="G562" s="429" t="s">
        <v>217</v>
      </c>
      <c r="H562" s="429" t="s">
        <v>779</v>
      </c>
      <c r="I562" s="429" t="s">
        <v>397</v>
      </c>
      <c r="J562" s="429" t="s">
        <v>300</v>
      </c>
      <c r="K562" s="424" t="str">
        <f>IF(O562="Zauberspruch",L562,O562)</f>
        <v>Zauberrune</v>
      </c>
      <c r="L562" s="424" t="s">
        <v>138</v>
      </c>
      <c r="M562" s="428" t="s">
        <v>322</v>
      </c>
      <c r="N562" s="428" t="s">
        <v>314</v>
      </c>
      <c r="O562" s="426" t="s">
        <v>1601</v>
      </c>
      <c r="P562" s="1232" t="s">
        <v>1747</v>
      </c>
      <c r="Q562" s="425" t="s">
        <v>1321</v>
      </c>
      <c r="R562" s="425">
        <v>80</v>
      </c>
    </row>
    <row r="563" spans="1:18" s="9" customFormat="1" ht="20.100000000000001" customHeight="1" x14ac:dyDescent="0.2">
      <c r="A563" s="428" t="s">
        <v>1823</v>
      </c>
      <c r="B563" s="429" t="s">
        <v>220</v>
      </c>
      <c r="C563" s="429">
        <v>6</v>
      </c>
      <c r="D563" s="424" t="s">
        <v>1860</v>
      </c>
      <c r="E563" s="429" t="s">
        <v>306</v>
      </c>
      <c r="F563" s="429" t="s">
        <v>332</v>
      </c>
      <c r="G563" s="429" t="s">
        <v>217</v>
      </c>
      <c r="H563" s="429" t="s">
        <v>1855</v>
      </c>
      <c r="I563" s="429" t="s">
        <v>397</v>
      </c>
      <c r="J563" s="429" t="s">
        <v>328</v>
      </c>
      <c r="K563" s="424" t="str">
        <f>IF(O563="Zauberspruch",L563,O563)</f>
        <v>Formen</v>
      </c>
      <c r="L563" s="424" t="s">
        <v>148</v>
      </c>
      <c r="M563" s="424" t="s">
        <v>322</v>
      </c>
      <c r="N563" s="424" t="s">
        <v>314</v>
      </c>
      <c r="O563" s="424" t="s">
        <v>166</v>
      </c>
      <c r="P563" s="427" t="s">
        <v>1811</v>
      </c>
      <c r="Q563" s="425" t="s">
        <v>1872</v>
      </c>
      <c r="R563" s="425">
        <v>14</v>
      </c>
    </row>
    <row r="564" spans="1:18" s="9" customFormat="1" ht="20.100000000000001" customHeight="1" x14ac:dyDescent="0.2">
      <c r="A564" s="428" t="s">
        <v>1429</v>
      </c>
      <c r="B564" s="429" t="s">
        <v>220</v>
      </c>
      <c r="C564" s="429">
        <v>12</v>
      </c>
      <c r="D564" s="432" t="s">
        <v>416</v>
      </c>
      <c r="E564" s="429" t="s">
        <v>299</v>
      </c>
      <c r="F564" s="429" t="s">
        <v>25</v>
      </c>
      <c r="G564" s="429" t="s">
        <v>216</v>
      </c>
      <c r="H564" s="429" t="s">
        <v>770</v>
      </c>
      <c r="I564" s="429">
        <v>0</v>
      </c>
      <c r="J564" s="429" t="s">
        <v>313</v>
      </c>
      <c r="K564" s="424" t="str">
        <f>IF(O564="Zauberspruch",L564,O564)</f>
        <v>Thaumatherapie</v>
      </c>
      <c r="L564" s="424" t="s">
        <v>140</v>
      </c>
      <c r="M564" s="428" t="s">
        <v>322</v>
      </c>
      <c r="N564" s="428" t="s">
        <v>308</v>
      </c>
      <c r="O564" s="426" t="s">
        <v>1340</v>
      </c>
      <c r="P564" s="1232" t="s">
        <v>75</v>
      </c>
      <c r="Q564" s="425" t="s">
        <v>1321</v>
      </c>
      <c r="R564" s="425">
        <v>89</v>
      </c>
    </row>
    <row r="565" spans="1:18" s="9" customFormat="1" ht="20.100000000000001" customHeight="1" x14ac:dyDescent="0.2">
      <c r="A565" s="428" t="s">
        <v>1836</v>
      </c>
      <c r="B565" s="429" t="s">
        <v>219</v>
      </c>
      <c r="C565" s="429">
        <v>11</v>
      </c>
      <c r="D565" s="429" t="s">
        <v>1799</v>
      </c>
      <c r="E565" s="429" t="s">
        <v>316</v>
      </c>
      <c r="F565" s="429" t="s">
        <v>75</v>
      </c>
      <c r="G565" s="429" t="s">
        <v>215</v>
      </c>
      <c r="H565" s="429" t="s">
        <v>770</v>
      </c>
      <c r="I565" s="429" t="s">
        <v>369</v>
      </c>
      <c r="J565" s="429" t="s">
        <v>300</v>
      </c>
      <c r="K565" s="424" t="str">
        <f>IF(O565="Zauberspruch",L565,O565)</f>
        <v>Wundertat</v>
      </c>
      <c r="L565" s="424" t="s">
        <v>140</v>
      </c>
      <c r="M565" s="424" t="s">
        <v>302</v>
      </c>
      <c r="N565" s="424" t="s">
        <v>314</v>
      </c>
      <c r="O565" s="427" t="s">
        <v>1183</v>
      </c>
      <c r="P565" s="427" t="s">
        <v>75</v>
      </c>
      <c r="Q565" s="425" t="s">
        <v>1872</v>
      </c>
      <c r="R565" s="425">
        <v>19</v>
      </c>
    </row>
    <row r="566" spans="1:18" s="9" customFormat="1" ht="20.100000000000001" customHeight="1" x14ac:dyDescent="0.2">
      <c r="A566" s="428" t="s">
        <v>1430</v>
      </c>
      <c r="B566" s="429" t="s">
        <v>218</v>
      </c>
      <c r="C566" s="429">
        <v>2</v>
      </c>
      <c r="D566" s="432">
        <v>1</v>
      </c>
      <c r="E566" s="429" t="s">
        <v>347</v>
      </c>
      <c r="F566" s="429" t="s">
        <v>335</v>
      </c>
      <c r="G566" s="429" t="s">
        <v>215</v>
      </c>
      <c r="H566" s="429" t="s">
        <v>770</v>
      </c>
      <c r="I566" s="429">
        <v>0</v>
      </c>
      <c r="J566" s="429" t="s">
        <v>313</v>
      </c>
      <c r="K566" s="424" t="str">
        <f>IF(O566="Zauberspruch",L566,O566)</f>
        <v>Thaumatherapie</v>
      </c>
      <c r="L566" s="424" t="s">
        <v>143</v>
      </c>
      <c r="M566" s="428" t="s">
        <v>322</v>
      </c>
      <c r="N566" s="428" t="s">
        <v>314</v>
      </c>
      <c r="O566" s="426" t="s">
        <v>1340</v>
      </c>
      <c r="P566" s="1232" t="s">
        <v>75</v>
      </c>
      <c r="Q566" s="425" t="s">
        <v>1321</v>
      </c>
      <c r="R566" s="425">
        <v>90</v>
      </c>
    </row>
    <row r="567" spans="1:18" s="9" customFormat="1" ht="20.100000000000001" customHeight="1" x14ac:dyDescent="0.2">
      <c r="A567" s="428" t="s">
        <v>711</v>
      </c>
      <c r="B567" s="429" t="s">
        <v>220</v>
      </c>
      <c r="C567" s="429">
        <v>8</v>
      </c>
      <c r="D567" s="432">
        <v>4</v>
      </c>
      <c r="E567" s="429" t="s">
        <v>354</v>
      </c>
      <c r="F567" s="429" t="s">
        <v>332</v>
      </c>
      <c r="G567" s="429" t="s">
        <v>217</v>
      </c>
      <c r="H567" s="429" t="s">
        <v>779</v>
      </c>
      <c r="I567" s="429" t="s">
        <v>493</v>
      </c>
      <c r="J567" s="429" t="s">
        <v>328</v>
      </c>
      <c r="K567" s="424" t="str">
        <f>IF(O567="Zauberspruch",L567,O567)</f>
        <v>Bewegen</v>
      </c>
      <c r="L567" s="424" t="s">
        <v>140</v>
      </c>
      <c r="M567" s="428" t="s">
        <v>314</v>
      </c>
      <c r="N567" s="428" t="s">
        <v>314</v>
      </c>
      <c r="O567" s="424" t="s">
        <v>166</v>
      </c>
      <c r="P567" s="1232" t="s">
        <v>712</v>
      </c>
      <c r="Q567" s="425" t="s">
        <v>748</v>
      </c>
      <c r="R567" s="425">
        <v>128</v>
      </c>
    </row>
    <row r="568" spans="1:18" s="9" customFormat="1" ht="20.100000000000001" customHeight="1" x14ac:dyDescent="0.2">
      <c r="A568" s="428" t="s">
        <v>713</v>
      </c>
      <c r="B568" s="429" t="s">
        <v>220</v>
      </c>
      <c r="C568" s="429">
        <v>2</v>
      </c>
      <c r="D568" s="432">
        <v>1</v>
      </c>
      <c r="E568" s="429" t="s">
        <v>304</v>
      </c>
      <c r="F568" s="429" t="s">
        <v>332</v>
      </c>
      <c r="G568" s="429" t="s">
        <v>217</v>
      </c>
      <c r="H568" s="429" t="s">
        <v>420</v>
      </c>
      <c r="I568" s="429" t="s">
        <v>311</v>
      </c>
      <c r="J568" s="429" t="s">
        <v>328</v>
      </c>
      <c r="K568" s="424" t="str">
        <f>IF(O568="Zauberspruch",L568,O568)</f>
        <v>Bewegen</v>
      </c>
      <c r="L568" s="424" t="s">
        <v>140</v>
      </c>
      <c r="M568" s="428" t="s">
        <v>314</v>
      </c>
      <c r="N568" s="428" t="s">
        <v>314</v>
      </c>
      <c r="O568" s="424" t="s">
        <v>166</v>
      </c>
      <c r="P568" s="1232" t="s">
        <v>75</v>
      </c>
      <c r="Q568" s="425" t="s">
        <v>748</v>
      </c>
      <c r="R568" s="425">
        <v>129</v>
      </c>
    </row>
    <row r="569" spans="1:18" s="9" customFormat="1" ht="20.100000000000001" customHeight="1" x14ac:dyDescent="0.2">
      <c r="A569" s="428" t="s">
        <v>1493</v>
      </c>
      <c r="B569" s="429" t="s">
        <v>220</v>
      </c>
      <c r="C569" s="429">
        <v>2</v>
      </c>
      <c r="D569" s="432">
        <v>1</v>
      </c>
      <c r="E569" s="429" t="s">
        <v>304</v>
      </c>
      <c r="F569" s="429" t="s">
        <v>332</v>
      </c>
      <c r="G569" s="429" t="s">
        <v>217</v>
      </c>
      <c r="H569" s="429" t="s">
        <v>420</v>
      </c>
      <c r="I569" s="429" t="s">
        <v>311</v>
      </c>
      <c r="J569" s="429" t="s">
        <v>328</v>
      </c>
      <c r="K569" s="424" t="str">
        <f>IF(O569="Zauberspruch",L569,O569)</f>
        <v>Runenstab</v>
      </c>
      <c r="L569" s="424" t="s">
        <v>140</v>
      </c>
      <c r="M569" s="428" t="s">
        <v>314</v>
      </c>
      <c r="N569" s="428" t="s">
        <v>314</v>
      </c>
      <c r="O569" s="426" t="s">
        <v>1472</v>
      </c>
      <c r="P569" s="1232" t="s">
        <v>75</v>
      </c>
      <c r="Q569" s="425" t="s">
        <v>1321</v>
      </c>
      <c r="R569" s="425">
        <v>53</v>
      </c>
    </row>
    <row r="570" spans="1:18" s="9" customFormat="1" ht="20.100000000000001" customHeight="1" x14ac:dyDescent="0.2">
      <c r="A570" s="428" t="s">
        <v>714</v>
      </c>
      <c r="B570" s="429" t="s">
        <v>220</v>
      </c>
      <c r="C570" s="429">
        <v>12</v>
      </c>
      <c r="D570" s="432">
        <v>9</v>
      </c>
      <c r="E570" s="429" t="s">
        <v>324</v>
      </c>
      <c r="F570" s="429" t="s">
        <v>332</v>
      </c>
      <c r="G570" s="429" t="s">
        <v>217</v>
      </c>
      <c r="H570" s="429" t="s">
        <v>790</v>
      </c>
      <c r="I570" s="429" t="s">
        <v>325</v>
      </c>
      <c r="J570" s="429" t="s">
        <v>328</v>
      </c>
      <c r="K570" s="424" t="str">
        <f>IF(O570="Zauberspruch",L570,O570)</f>
        <v>Bewegen</v>
      </c>
      <c r="L570" s="424" t="s">
        <v>140</v>
      </c>
      <c r="M570" s="428" t="s">
        <v>314</v>
      </c>
      <c r="N570" s="428" t="s">
        <v>314</v>
      </c>
      <c r="O570" s="424" t="s">
        <v>166</v>
      </c>
      <c r="P570" s="1232" t="s">
        <v>75</v>
      </c>
      <c r="Q570" s="425" t="s">
        <v>748</v>
      </c>
      <c r="R570" s="425">
        <v>129</v>
      </c>
    </row>
    <row r="571" spans="1:18" s="9" customFormat="1" ht="20.100000000000001" customHeight="1" x14ac:dyDescent="0.2">
      <c r="A571" s="428" t="s">
        <v>715</v>
      </c>
      <c r="B571" s="429" t="s">
        <v>220</v>
      </c>
      <c r="C571" s="429">
        <v>3</v>
      </c>
      <c r="D571" s="429">
        <v>2</v>
      </c>
      <c r="E571" s="429" t="s">
        <v>311</v>
      </c>
      <c r="F571" s="429" t="s">
        <v>75</v>
      </c>
      <c r="G571" s="429" t="s">
        <v>216</v>
      </c>
      <c r="H571" s="429" t="s">
        <v>791</v>
      </c>
      <c r="I571" s="429" t="s">
        <v>299</v>
      </c>
      <c r="J571" s="429" t="s">
        <v>307</v>
      </c>
      <c r="K571" s="424" t="str">
        <f>IF(O571="Zauberspruch",L571,O571)</f>
        <v>Dweomer</v>
      </c>
      <c r="L571" s="424" t="s">
        <v>138</v>
      </c>
      <c r="M571" s="424" t="s">
        <v>301</v>
      </c>
      <c r="N571" s="424" t="s">
        <v>302</v>
      </c>
      <c r="O571" s="427" t="s">
        <v>146</v>
      </c>
      <c r="P571" s="1233" t="s">
        <v>716</v>
      </c>
      <c r="Q571" s="425" t="s">
        <v>748</v>
      </c>
      <c r="R571" s="425">
        <v>161</v>
      </c>
    </row>
    <row r="572" spans="1:18" s="9" customFormat="1" ht="20.100000000000001" customHeight="1" x14ac:dyDescent="0.2">
      <c r="A572" s="428" t="s">
        <v>1644</v>
      </c>
      <c r="B572" s="429" t="s">
        <v>220</v>
      </c>
      <c r="C572" s="429">
        <v>10</v>
      </c>
      <c r="D572" s="432">
        <v>6</v>
      </c>
      <c r="E572" s="429" t="s">
        <v>299</v>
      </c>
      <c r="F572" s="429" t="s">
        <v>75</v>
      </c>
      <c r="G572" s="429" t="s">
        <v>217</v>
      </c>
      <c r="H572" s="429" t="s">
        <v>781</v>
      </c>
      <c r="I572" s="429" t="s">
        <v>383</v>
      </c>
      <c r="J572" s="429" t="s">
        <v>300</v>
      </c>
      <c r="K572" s="424" t="str">
        <f>IF(O572="Zauberspruch",L572,O572)</f>
        <v>Zauberrune</v>
      </c>
      <c r="L572" s="424" t="s">
        <v>140</v>
      </c>
      <c r="M572" s="428" t="s">
        <v>309</v>
      </c>
      <c r="N572" s="428" t="s">
        <v>309</v>
      </c>
      <c r="O572" s="426" t="s">
        <v>1601</v>
      </c>
      <c r="P572" s="1232" t="s">
        <v>1748</v>
      </c>
      <c r="Q572" s="425" t="s">
        <v>1321</v>
      </c>
      <c r="R572" s="425">
        <v>81</v>
      </c>
    </row>
    <row r="573" spans="1:18" s="9" customFormat="1" ht="20.100000000000001" customHeight="1" x14ac:dyDescent="0.2">
      <c r="A573" s="428" t="s">
        <v>717</v>
      </c>
      <c r="B573" s="429" t="s">
        <v>219</v>
      </c>
      <c r="C573" s="429">
        <v>8</v>
      </c>
      <c r="D573" s="431">
        <v>6</v>
      </c>
      <c r="E573" s="429" t="s">
        <v>311</v>
      </c>
      <c r="F573" s="429" t="s">
        <v>332</v>
      </c>
      <c r="G573" s="429" t="s">
        <v>215</v>
      </c>
      <c r="H573" s="429" t="s">
        <v>768</v>
      </c>
      <c r="I573" s="429" t="s">
        <v>397</v>
      </c>
      <c r="J573" s="430" t="s">
        <v>300</v>
      </c>
      <c r="K573" s="424" t="str">
        <f>IF(O573="Zauberspruch",L573,O573)</f>
        <v>Wundertat</v>
      </c>
      <c r="L573" s="427" t="s">
        <v>141</v>
      </c>
      <c r="M573" s="427" t="s">
        <v>314</v>
      </c>
      <c r="N573" s="427" t="s">
        <v>329</v>
      </c>
      <c r="O573" s="427" t="s">
        <v>1183</v>
      </c>
      <c r="P573" s="1234" t="s">
        <v>75</v>
      </c>
      <c r="Q573" s="425" t="s">
        <v>748</v>
      </c>
      <c r="R573" s="425">
        <v>149</v>
      </c>
    </row>
    <row r="574" spans="1:18" s="9" customFormat="1" ht="20.100000000000001" customHeight="1" x14ac:dyDescent="0.2">
      <c r="A574" s="428" t="s">
        <v>718</v>
      </c>
      <c r="B574" s="429" t="s">
        <v>219</v>
      </c>
      <c r="C574" s="429">
        <v>8</v>
      </c>
      <c r="D574" s="431">
        <v>6</v>
      </c>
      <c r="E574" s="429" t="s">
        <v>311</v>
      </c>
      <c r="F574" s="429" t="s">
        <v>332</v>
      </c>
      <c r="G574" s="429" t="s">
        <v>216</v>
      </c>
      <c r="H574" s="429" t="s">
        <v>768</v>
      </c>
      <c r="I574" s="429" t="s">
        <v>397</v>
      </c>
      <c r="J574" s="430" t="s">
        <v>300</v>
      </c>
      <c r="K574" s="424" t="str">
        <f>IF(O574="Zauberspruch",L574,O574)</f>
        <v>Wundertat</v>
      </c>
      <c r="L574" s="427" t="s">
        <v>141</v>
      </c>
      <c r="M574" s="427" t="s">
        <v>301</v>
      </c>
      <c r="N574" s="427" t="s">
        <v>329</v>
      </c>
      <c r="O574" s="427" t="s">
        <v>1183</v>
      </c>
      <c r="P574" s="1234" t="s">
        <v>75</v>
      </c>
      <c r="Q574" s="425" t="s">
        <v>748</v>
      </c>
      <c r="R574" s="425">
        <v>148</v>
      </c>
    </row>
    <row r="575" spans="1:18" s="9" customFormat="1" ht="20.100000000000001" customHeight="1" x14ac:dyDescent="0.2">
      <c r="A575" s="428" t="s">
        <v>1431</v>
      </c>
      <c r="B575" s="429" t="s">
        <v>220</v>
      </c>
      <c r="C575" s="429">
        <v>6</v>
      </c>
      <c r="D575" s="431">
        <v>6</v>
      </c>
      <c r="E575" s="429" t="s">
        <v>1432</v>
      </c>
      <c r="F575" s="429" t="s">
        <v>25</v>
      </c>
      <c r="G575" s="429" t="s">
        <v>216</v>
      </c>
      <c r="H575" s="429" t="s">
        <v>770</v>
      </c>
      <c r="I575" s="429">
        <v>0</v>
      </c>
      <c r="J575" s="430" t="s">
        <v>300</v>
      </c>
      <c r="K575" s="424" t="str">
        <f>IF(O575="Zauberspruch",L575,O575)</f>
        <v>Thaumatherapie</v>
      </c>
      <c r="L575" s="427" t="s">
        <v>145</v>
      </c>
      <c r="M575" s="427" t="s">
        <v>301</v>
      </c>
      <c r="N575" s="427" t="s">
        <v>302</v>
      </c>
      <c r="O575" s="427" t="s">
        <v>1340</v>
      </c>
      <c r="P575" s="1234" t="s">
        <v>75</v>
      </c>
      <c r="Q575" s="425" t="s">
        <v>1321</v>
      </c>
      <c r="R575" s="425">
        <v>90</v>
      </c>
    </row>
    <row r="576" spans="1:18" s="9" customFormat="1" ht="20.100000000000001" customHeight="1" x14ac:dyDescent="0.2">
      <c r="A576" s="428" t="s">
        <v>719</v>
      </c>
      <c r="B576" s="429" t="s">
        <v>218</v>
      </c>
      <c r="C576" s="429">
        <v>2</v>
      </c>
      <c r="D576" s="431">
        <v>1</v>
      </c>
      <c r="E576" s="429" t="s">
        <v>304</v>
      </c>
      <c r="F576" s="429" t="s">
        <v>75</v>
      </c>
      <c r="G576" s="429" t="s">
        <v>217</v>
      </c>
      <c r="H576" s="429" t="s">
        <v>791</v>
      </c>
      <c r="I576" s="429" t="s">
        <v>299</v>
      </c>
      <c r="J576" s="430" t="s">
        <v>307</v>
      </c>
      <c r="K576" s="424" t="str">
        <f>IF(O576="Zauberspruch",L576,O576)</f>
        <v>Dweomer</v>
      </c>
      <c r="L576" s="427" t="s">
        <v>148</v>
      </c>
      <c r="M576" s="427" t="s">
        <v>301</v>
      </c>
      <c r="N576" s="427" t="s">
        <v>302</v>
      </c>
      <c r="O576" s="427" t="s">
        <v>146</v>
      </c>
      <c r="P576" s="1234" t="s">
        <v>75</v>
      </c>
      <c r="Q576" s="425" t="s">
        <v>748</v>
      </c>
      <c r="R576" s="425">
        <v>161</v>
      </c>
    </row>
    <row r="577" spans="1:18" s="9" customFormat="1" ht="20.100000000000001" customHeight="1" x14ac:dyDescent="0.2">
      <c r="A577" s="428" t="s">
        <v>1433</v>
      </c>
      <c r="B577" s="429" t="s">
        <v>220</v>
      </c>
      <c r="C577" s="429">
        <v>4</v>
      </c>
      <c r="D577" s="432">
        <v>4</v>
      </c>
      <c r="E577" s="429" t="s">
        <v>306</v>
      </c>
      <c r="F577" s="429" t="s">
        <v>25</v>
      </c>
      <c r="G577" s="429" t="s">
        <v>216</v>
      </c>
      <c r="H577" s="429" t="s">
        <v>770</v>
      </c>
      <c r="I577" s="429">
        <v>0</v>
      </c>
      <c r="J577" s="429" t="s">
        <v>300</v>
      </c>
      <c r="K577" s="424" t="str">
        <f>IF(O577="Zauberspruch",L577,O577)</f>
        <v>Thaumatherapie</v>
      </c>
      <c r="L577" s="424" t="s">
        <v>145</v>
      </c>
      <c r="M577" s="428" t="s">
        <v>301</v>
      </c>
      <c r="N577" s="428" t="s">
        <v>302</v>
      </c>
      <c r="O577" s="426" t="s">
        <v>1340</v>
      </c>
      <c r="P577" s="1232" t="s">
        <v>75</v>
      </c>
      <c r="Q577" s="425" t="s">
        <v>1321</v>
      </c>
      <c r="R577" s="425">
        <v>90</v>
      </c>
    </row>
    <row r="578" spans="1:18" s="9" customFormat="1" ht="20.100000000000001" customHeight="1" x14ac:dyDescent="0.2">
      <c r="A578" s="428" t="s">
        <v>1645</v>
      </c>
      <c r="B578" s="429" t="s">
        <v>220</v>
      </c>
      <c r="C578" s="429">
        <v>4</v>
      </c>
      <c r="D578" s="432">
        <v>2</v>
      </c>
      <c r="E578" s="429" t="s">
        <v>299</v>
      </c>
      <c r="F578" s="429" t="s">
        <v>75</v>
      </c>
      <c r="G578" s="429" t="s">
        <v>216</v>
      </c>
      <c r="H578" s="429" t="s">
        <v>770</v>
      </c>
      <c r="I578" s="429">
        <v>0</v>
      </c>
      <c r="J578" s="429" t="s">
        <v>300</v>
      </c>
      <c r="K578" s="424" t="str">
        <f>IF(O578="Zauberspruch",L578,O578)</f>
        <v>Zauberrune</v>
      </c>
      <c r="L578" s="424" t="s">
        <v>145</v>
      </c>
      <c r="M578" s="428" t="s">
        <v>301</v>
      </c>
      <c r="N578" s="428" t="s">
        <v>302</v>
      </c>
      <c r="O578" s="426" t="s">
        <v>1601</v>
      </c>
      <c r="P578" s="1232" t="s">
        <v>1749</v>
      </c>
      <c r="Q578" s="425" t="s">
        <v>1321</v>
      </c>
      <c r="R578" s="425">
        <v>81</v>
      </c>
    </row>
    <row r="579" spans="1:18" s="9" customFormat="1" ht="20.100000000000001" customHeight="1" x14ac:dyDescent="0.2">
      <c r="A579" s="428" t="s">
        <v>720</v>
      </c>
      <c r="B579" s="429" t="s">
        <v>219</v>
      </c>
      <c r="C579" s="429">
        <v>2</v>
      </c>
      <c r="D579" s="429" t="s">
        <v>750</v>
      </c>
      <c r="E579" s="429" t="s">
        <v>311</v>
      </c>
      <c r="F579" s="429" t="s">
        <v>305</v>
      </c>
      <c r="G579" s="429" t="s">
        <v>215</v>
      </c>
      <c r="H579" s="429" t="s">
        <v>799</v>
      </c>
      <c r="I579" s="429" t="s">
        <v>312</v>
      </c>
      <c r="J579" s="429" t="s">
        <v>307</v>
      </c>
      <c r="K579" s="424" t="str">
        <f>IF(O579="Zauberspruch",L579,O579)</f>
        <v>Dweomer</v>
      </c>
      <c r="L579" s="424" t="s">
        <v>137</v>
      </c>
      <c r="M579" s="424" t="s">
        <v>301</v>
      </c>
      <c r="N579" s="424" t="s">
        <v>309</v>
      </c>
      <c r="O579" s="427" t="s">
        <v>146</v>
      </c>
      <c r="P579" s="1233" t="s">
        <v>75</v>
      </c>
      <c r="Q579" s="425" t="s">
        <v>748</v>
      </c>
      <c r="R579" s="425">
        <v>161</v>
      </c>
    </row>
    <row r="580" spans="1:18" s="9" customFormat="1" ht="20.100000000000001" customHeight="1" x14ac:dyDescent="0.2">
      <c r="A580" s="428" t="s">
        <v>721</v>
      </c>
      <c r="B580" s="429" t="s">
        <v>220</v>
      </c>
      <c r="C580" s="429">
        <v>8</v>
      </c>
      <c r="D580" s="432">
        <v>4</v>
      </c>
      <c r="E580" s="429" t="s">
        <v>354</v>
      </c>
      <c r="F580" s="429" t="s">
        <v>472</v>
      </c>
      <c r="G580" s="429" t="s">
        <v>217</v>
      </c>
      <c r="H580" s="429" t="s">
        <v>75</v>
      </c>
      <c r="I580" s="429" t="s">
        <v>473</v>
      </c>
      <c r="J580" s="429" t="s">
        <v>313</v>
      </c>
      <c r="K580" s="424" t="str">
        <f>IF(O580="Zauberspruch",L580,O580)</f>
        <v>Bewegen</v>
      </c>
      <c r="L580" s="424" t="s">
        <v>140</v>
      </c>
      <c r="M580" s="428" t="s">
        <v>314</v>
      </c>
      <c r="N580" s="428" t="s">
        <v>308</v>
      </c>
      <c r="O580" s="424" t="s">
        <v>166</v>
      </c>
      <c r="P580" s="1232" t="s">
        <v>722</v>
      </c>
      <c r="Q580" s="425" t="s">
        <v>748</v>
      </c>
      <c r="R580" s="425">
        <v>130</v>
      </c>
    </row>
    <row r="581" spans="1:18" s="9" customFormat="1" ht="20.100000000000001" customHeight="1" x14ac:dyDescent="0.2">
      <c r="A581" s="428" t="s">
        <v>723</v>
      </c>
      <c r="B581" s="429" t="s">
        <v>220</v>
      </c>
      <c r="C581" s="429">
        <v>8</v>
      </c>
      <c r="D581" s="432">
        <v>4</v>
      </c>
      <c r="E581" s="429" t="s">
        <v>354</v>
      </c>
      <c r="F581" s="429" t="s">
        <v>359</v>
      </c>
      <c r="G581" s="429" t="s">
        <v>217</v>
      </c>
      <c r="H581" s="429" t="s">
        <v>770</v>
      </c>
      <c r="I581" s="429" t="s">
        <v>453</v>
      </c>
      <c r="J581" s="429" t="s">
        <v>313</v>
      </c>
      <c r="K581" s="424" t="str">
        <f>IF(O581="Zauberspruch",L581,O581)</f>
        <v>Formen</v>
      </c>
      <c r="L581" s="424" t="s">
        <v>148</v>
      </c>
      <c r="M581" s="428" t="s">
        <v>302</v>
      </c>
      <c r="N581" s="428" t="s">
        <v>314</v>
      </c>
      <c r="O581" s="424" t="s">
        <v>166</v>
      </c>
      <c r="P581" s="1232" t="s">
        <v>724</v>
      </c>
      <c r="Q581" s="425" t="s">
        <v>748</v>
      </c>
      <c r="R581" s="425">
        <v>131</v>
      </c>
    </row>
    <row r="582" spans="1:18" s="9" customFormat="1" ht="20.100000000000001" customHeight="1" x14ac:dyDescent="0.2">
      <c r="A582" s="428" t="s">
        <v>1434</v>
      </c>
      <c r="B582" s="429" t="s">
        <v>220</v>
      </c>
      <c r="C582" s="429">
        <v>10</v>
      </c>
      <c r="D582" s="432">
        <v>8</v>
      </c>
      <c r="E582" s="429" t="s">
        <v>299</v>
      </c>
      <c r="F582" s="429" t="s">
        <v>25</v>
      </c>
      <c r="G582" s="429" t="s">
        <v>216</v>
      </c>
      <c r="H582" s="429" t="s">
        <v>770</v>
      </c>
      <c r="I582" s="429">
        <v>0</v>
      </c>
      <c r="J582" s="429" t="s">
        <v>300</v>
      </c>
      <c r="K582" s="424" t="str">
        <f>IF(O582="Zauberspruch",L582,O582)</f>
        <v>Thaumatherapie</v>
      </c>
      <c r="L582" s="424" t="s">
        <v>145</v>
      </c>
      <c r="M582" s="428" t="s">
        <v>301</v>
      </c>
      <c r="N582" s="428" t="s">
        <v>302</v>
      </c>
      <c r="O582" s="426" t="s">
        <v>1340</v>
      </c>
      <c r="P582" s="1232" t="s">
        <v>75</v>
      </c>
      <c r="Q582" s="425" t="s">
        <v>1321</v>
      </c>
      <c r="R582" s="425">
        <v>91</v>
      </c>
    </row>
    <row r="583" spans="1:18" s="9" customFormat="1" ht="20.100000000000001" customHeight="1" x14ac:dyDescent="0.2">
      <c r="A583" s="428" t="s">
        <v>1494</v>
      </c>
      <c r="B583" s="429" t="s">
        <v>220</v>
      </c>
      <c r="C583" s="429">
        <v>3</v>
      </c>
      <c r="D583" s="432">
        <v>2</v>
      </c>
      <c r="E583" s="429" t="s">
        <v>304</v>
      </c>
      <c r="F583" s="429" t="s">
        <v>332</v>
      </c>
      <c r="G583" s="429" t="s">
        <v>217</v>
      </c>
      <c r="H583" s="429" t="s">
        <v>427</v>
      </c>
      <c r="I583" s="429" t="s">
        <v>299</v>
      </c>
      <c r="J583" s="429" t="s">
        <v>328</v>
      </c>
      <c r="K583" s="424" t="str">
        <f>IF(O583="Zauberspruch",L583,O583)</f>
        <v>Runenstab</v>
      </c>
      <c r="L583" s="424" t="s">
        <v>145</v>
      </c>
      <c r="M583" s="428" t="s">
        <v>308</v>
      </c>
      <c r="N583" s="428" t="s">
        <v>308</v>
      </c>
      <c r="O583" s="426" t="s">
        <v>1472</v>
      </c>
      <c r="P583" s="1232" t="s">
        <v>75</v>
      </c>
      <c r="Q583" s="425" t="s">
        <v>1321</v>
      </c>
      <c r="R583" s="425">
        <v>53</v>
      </c>
    </row>
    <row r="584" spans="1:18" s="9" customFormat="1" ht="20.100000000000001" customHeight="1" x14ac:dyDescent="0.2">
      <c r="A584" s="428" t="s">
        <v>725</v>
      </c>
      <c r="B584" s="429" t="s">
        <v>220</v>
      </c>
      <c r="C584" s="429">
        <v>7</v>
      </c>
      <c r="D584" s="432" t="s">
        <v>767</v>
      </c>
      <c r="E584" s="429" t="s">
        <v>354</v>
      </c>
      <c r="F584" s="429" t="s">
        <v>75</v>
      </c>
      <c r="G584" s="429" t="s">
        <v>217</v>
      </c>
      <c r="H584" s="429" t="s">
        <v>791</v>
      </c>
      <c r="I584" s="429" t="s">
        <v>318</v>
      </c>
      <c r="J584" s="429" t="s">
        <v>313</v>
      </c>
      <c r="K584" s="424" t="str">
        <f>IF(O584="Zauberspruch",L584,O584)</f>
        <v>Erschaffen</v>
      </c>
      <c r="L584" s="424" t="s">
        <v>145</v>
      </c>
      <c r="M584" s="428" t="s">
        <v>319</v>
      </c>
      <c r="N584" s="428" t="s">
        <v>322</v>
      </c>
      <c r="O584" s="424" t="s">
        <v>166</v>
      </c>
      <c r="P584" s="1232" t="s">
        <v>726</v>
      </c>
      <c r="Q584" s="425" t="s">
        <v>748</v>
      </c>
      <c r="R584" s="425">
        <v>131</v>
      </c>
    </row>
    <row r="585" spans="1:18" s="9" customFormat="1" ht="20.100000000000001" customHeight="1" x14ac:dyDescent="0.2">
      <c r="A585" s="428" t="s">
        <v>1592</v>
      </c>
      <c r="B585" s="429" t="s">
        <v>219</v>
      </c>
      <c r="C585" s="429">
        <v>5</v>
      </c>
      <c r="D585" s="432" t="s">
        <v>767</v>
      </c>
      <c r="E585" s="429" t="s">
        <v>304</v>
      </c>
      <c r="F585" s="429" t="s">
        <v>321</v>
      </c>
      <c r="G585" s="429" t="s">
        <v>217</v>
      </c>
      <c r="H585" s="429" t="s">
        <v>75</v>
      </c>
      <c r="I585" s="429" t="s">
        <v>318</v>
      </c>
      <c r="J585" s="429" t="s">
        <v>313</v>
      </c>
      <c r="K585" s="424" t="str">
        <f>IF(O585="Zauberspruch",L585,O585)</f>
        <v>Zaubersiegel</v>
      </c>
      <c r="L585" s="424" t="s">
        <v>145</v>
      </c>
      <c r="M585" s="428" t="s">
        <v>319</v>
      </c>
      <c r="N585" s="428" t="s">
        <v>322</v>
      </c>
      <c r="O585" s="426" t="s">
        <v>1322</v>
      </c>
      <c r="P585" s="1232" t="s">
        <v>1506</v>
      </c>
      <c r="Q585" s="425" t="s">
        <v>1321</v>
      </c>
      <c r="R585" s="425">
        <v>66</v>
      </c>
    </row>
    <row r="586" spans="1:18" s="9" customFormat="1" ht="20.100000000000001" customHeight="1" x14ac:dyDescent="0.2">
      <c r="A586" s="428" t="s">
        <v>727</v>
      </c>
      <c r="B586" s="429" t="s">
        <v>220</v>
      </c>
      <c r="C586" s="429">
        <v>8</v>
      </c>
      <c r="D586" s="432" t="s">
        <v>764</v>
      </c>
      <c r="E586" s="429" t="s">
        <v>311</v>
      </c>
      <c r="F586" s="429" t="s">
        <v>305</v>
      </c>
      <c r="G586" s="429" t="s">
        <v>216</v>
      </c>
      <c r="H586" s="429" t="s">
        <v>798</v>
      </c>
      <c r="I586" s="429" t="s">
        <v>532</v>
      </c>
      <c r="J586" s="429" t="s">
        <v>313</v>
      </c>
      <c r="K586" s="424" t="str">
        <f>IF(O586="Zauberspruch",L586,O586)</f>
        <v>Beherrschen</v>
      </c>
      <c r="L586" s="424" t="s">
        <v>137</v>
      </c>
      <c r="M586" s="428" t="s">
        <v>322</v>
      </c>
      <c r="N586" s="428" t="s">
        <v>309</v>
      </c>
      <c r="O586" s="424" t="s">
        <v>166</v>
      </c>
      <c r="P586" s="1232" t="s">
        <v>728</v>
      </c>
      <c r="Q586" s="425" t="s">
        <v>748</v>
      </c>
      <c r="R586" s="425">
        <v>131</v>
      </c>
    </row>
    <row r="587" spans="1:18" s="9" customFormat="1" ht="20.100000000000001" customHeight="1" x14ac:dyDescent="0.2">
      <c r="A587" s="428" t="s">
        <v>729</v>
      </c>
      <c r="B587" s="429" t="s">
        <v>220</v>
      </c>
      <c r="C587" s="429">
        <v>2</v>
      </c>
      <c r="D587" s="432">
        <v>1</v>
      </c>
      <c r="E587" s="429" t="s">
        <v>311</v>
      </c>
      <c r="F587" s="429" t="s">
        <v>25</v>
      </c>
      <c r="G587" s="429" t="s">
        <v>217</v>
      </c>
      <c r="H587" s="429" t="s">
        <v>774</v>
      </c>
      <c r="I587" s="429" t="s">
        <v>383</v>
      </c>
      <c r="J587" s="429" t="s">
        <v>313</v>
      </c>
      <c r="K587" s="424" t="str">
        <f>IF(O587="Zauberspruch",L587,O587)</f>
        <v>Bewegen</v>
      </c>
      <c r="L587" s="424" t="s">
        <v>140</v>
      </c>
      <c r="M587" s="428" t="s">
        <v>319</v>
      </c>
      <c r="N587" s="428" t="s">
        <v>301</v>
      </c>
      <c r="O587" s="424" t="s">
        <v>166</v>
      </c>
      <c r="P587" s="1232" t="s">
        <v>730</v>
      </c>
      <c r="Q587" s="425" t="s">
        <v>748</v>
      </c>
      <c r="R587" s="425">
        <v>132</v>
      </c>
    </row>
    <row r="588" spans="1:18" s="9" customFormat="1" ht="20.100000000000001" customHeight="1" x14ac:dyDescent="0.2">
      <c r="A588" s="428" t="s">
        <v>1593</v>
      </c>
      <c r="B588" s="429" t="s">
        <v>219</v>
      </c>
      <c r="C588" s="429">
        <v>2</v>
      </c>
      <c r="D588" s="432">
        <v>1</v>
      </c>
      <c r="E588" s="429" t="s">
        <v>304</v>
      </c>
      <c r="F588" s="429" t="s">
        <v>25</v>
      </c>
      <c r="G588" s="429" t="s">
        <v>217</v>
      </c>
      <c r="H588" s="429" t="s">
        <v>774</v>
      </c>
      <c r="I588" s="429" t="s">
        <v>383</v>
      </c>
      <c r="J588" s="429" t="s">
        <v>313</v>
      </c>
      <c r="K588" s="424" t="str">
        <f>IF(O588="Zauberspruch",L588,O588)</f>
        <v>Zaubersiegel</v>
      </c>
      <c r="L588" s="424" t="s">
        <v>140</v>
      </c>
      <c r="M588" s="428" t="s">
        <v>319</v>
      </c>
      <c r="N588" s="428" t="s">
        <v>301</v>
      </c>
      <c r="O588" s="426" t="s">
        <v>1322</v>
      </c>
      <c r="P588" s="1232" t="s">
        <v>1500</v>
      </c>
      <c r="Q588" s="425" t="s">
        <v>1321</v>
      </c>
      <c r="R588" s="425">
        <v>66</v>
      </c>
    </row>
    <row r="589" spans="1:18" s="9" customFormat="1" ht="20.100000000000001" customHeight="1" x14ac:dyDescent="0.2">
      <c r="A589" s="428" t="s">
        <v>731</v>
      </c>
      <c r="B589" s="429" t="s">
        <v>220</v>
      </c>
      <c r="C589" s="429">
        <v>3</v>
      </c>
      <c r="D589" s="432">
        <v>2</v>
      </c>
      <c r="E589" s="429" t="s">
        <v>311</v>
      </c>
      <c r="F589" s="429" t="s">
        <v>25</v>
      </c>
      <c r="G589" s="429" t="s">
        <v>217</v>
      </c>
      <c r="H589" s="429" t="s">
        <v>774</v>
      </c>
      <c r="I589" s="429">
        <v>0</v>
      </c>
      <c r="J589" s="429" t="s">
        <v>313</v>
      </c>
      <c r="K589" s="424" t="str">
        <f>IF(O589="Zauberspruch",L589,O589)</f>
        <v>Bewegen</v>
      </c>
      <c r="L589" s="424" t="s">
        <v>140</v>
      </c>
      <c r="M589" s="428" t="s">
        <v>322</v>
      </c>
      <c r="N589" s="428" t="s">
        <v>301</v>
      </c>
      <c r="O589" s="424" t="s">
        <v>166</v>
      </c>
      <c r="P589" s="1232" t="s">
        <v>732</v>
      </c>
      <c r="Q589" s="425" t="s">
        <v>748</v>
      </c>
      <c r="R589" s="425">
        <v>132</v>
      </c>
    </row>
    <row r="590" spans="1:18" s="9" customFormat="1" ht="20.100000000000001" customHeight="1" x14ac:dyDescent="0.2">
      <c r="A590" s="428" t="s">
        <v>1495</v>
      </c>
      <c r="B590" s="429" t="s">
        <v>220</v>
      </c>
      <c r="C590" s="429">
        <v>3</v>
      </c>
      <c r="D590" s="432">
        <v>2</v>
      </c>
      <c r="E590" s="429" t="s">
        <v>304</v>
      </c>
      <c r="F590" s="429" t="s">
        <v>25</v>
      </c>
      <c r="G590" s="429" t="s">
        <v>217</v>
      </c>
      <c r="H590" s="429" t="s">
        <v>774</v>
      </c>
      <c r="I590" s="429">
        <v>0</v>
      </c>
      <c r="J590" s="429" t="s">
        <v>313</v>
      </c>
      <c r="K590" s="424" t="str">
        <f>IF(O590="Zauberspruch",L590,O590)</f>
        <v>Runenstab</v>
      </c>
      <c r="L590" s="424" t="s">
        <v>140</v>
      </c>
      <c r="M590" s="428" t="s">
        <v>322</v>
      </c>
      <c r="N590" s="428" t="s">
        <v>301</v>
      </c>
      <c r="O590" s="426" t="s">
        <v>1472</v>
      </c>
      <c r="P590" s="1232" t="s">
        <v>75</v>
      </c>
      <c r="Q590" s="425" t="s">
        <v>1321</v>
      </c>
      <c r="R590" s="425">
        <v>55</v>
      </c>
    </row>
    <row r="591" spans="1:18" s="9" customFormat="1" ht="20.100000000000001" customHeight="1" x14ac:dyDescent="0.2">
      <c r="A591" s="433" t="s">
        <v>733</v>
      </c>
      <c r="B591" s="430" t="s">
        <v>220</v>
      </c>
      <c r="C591" s="430">
        <v>5</v>
      </c>
      <c r="D591" s="1231" t="s">
        <v>517</v>
      </c>
      <c r="E591" s="430" t="s">
        <v>347</v>
      </c>
      <c r="F591" s="429" t="s">
        <v>25</v>
      </c>
      <c r="G591" s="430" t="s">
        <v>217</v>
      </c>
      <c r="H591" s="430" t="s">
        <v>774</v>
      </c>
      <c r="I591" s="430" t="s">
        <v>306</v>
      </c>
      <c r="J591" s="430" t="s">
        <v>313</v>
      </c>
      <c r="K591" s="424" t="str">
        <f>IF(O591="Zauberspruch",L591,O591)</f>
        <v>Formen</v>
      </c>
      <c r="L591" s="427" t="s">
        <v>148</v>
      </c>
      <c r="M591" s="433" t="s">
        <v>322</v>
      </c>
      <c r="N591" s="433" t="s">
        <v>319</v>
      </c>
      <c r="O591" s="424" t="s">
        <v>166</v>
      </c>
      <c r="P591" s="1232" t="s">
        <v>1208</v>
      </c>
      <c r="Q591" s="425" t="s">
        <v>748</v>
      </c>
      <c r="R591" s="425">
        <v>132</v>
      </c>
    </row>
    <row r="592" spans="1:18" s="9" customFormat="1" ht="20.100000000000001" customHeight="1" x14ac:dyDescent="0.2">
      <c r="A592" s="428" t="s">
        <v>1594</v>
      </c>
      <c r="B592" s="429" t="s">
        <v>219</v>
      </c>
      <c r="C592" s="429">
        <v>5</v>
      </c>
      <c r="D592" s="432" t="s">
        <v>517</v>
      </c>
      <c r="E592" s="429" t="s">
        <v>304</v>
      </c>
      <c r="F592" s="429" t="s">
        <v>25</v>
      </c>
      <c r="G592" s="429" t="s">
        <v>217</v>
      </c>
      <c r="H592" s="429" t="s">
        <v>774</v>
      </c>
      <c r="I592" s="429" t="s">
        <v>306</v>
      </c>
      <c r="J592" s="429" t="s">
        <v>313</v>
      </c>
      <c r="K592" s="424" t="str">
        <f>IF(O592="Zauberspruch",L592,O592)</f>
        <v>Zaubersiegel</v>
      </c>
      <c r="L592" s="424" t="s">
        <v>148</v>
      </c>
      <c r="M592" s="428" t="s">
        <v>322</v>
      </c>
      <c r="N592" s="428" t="s">
        <v>319</v>
      </c>
      <c r="O592" s="426" t="s">
        <v>1322</v>
      </c>
      <c r="P592" s="1232" t="s">
        <v>1500</v>
      </c>
      <c r="Q592" s="425" t="s">
        <v>1321</v>
      </c>
      <c r="R592" s="425">
        <v>66</v>
      </c>
    </row>
    <row r="593" spans="1:18" s="9" customFormat="1" ht="20.100000000000001" customHeight="1" x14ac:dyDescent="0.2">
      <c r="A593" s="428" t="s">
        <v>734</v>
      </c>
      <c r="B593" s="429" t="s">
        <v>220</v>
      </c>
      <c r="C593" s="429">
        <v>3</v>
      </c>
      <c r="D593" s="429">
        <v>2</v>
      </c>
      <c r="E593" s="429" t="s">
        <v>311</v>
      </c>
      <c r="F593" s="429" t="s">
        <v>75</v>
      </c>
      <c r="G593" s="429" t="s">
        <v>216</v>
      </c>
      <c r="H593" s="429" t="s">
        <v>791</v>
      </c>
      <c r="I593" s="429" t="s">
        <v>311</v>
      </c>
      <c r="J593" s="429" t="s">
        <v>307</v>
      </c>
      <c r="K593" s="424" t="str">
        <f>IF(O593="Zauberspruch",L593,O593)</f>
        <v>Dweomer</v>
      </c>
      <c r="L593" s="424" t="s">
        <v>138</v>
      </c>
      <c r="M593" s="424" t="s">
        <v>301</v>
      </c>
      <c r="N593" s="424" t="s">
        <v>302</v>
      </c>
      <c r="O593" s="427" t="s">
        <v>146</v>
      </c>
      <c r="P593" s="1233" t="s">
        <v>75</v>
      </c>
      <c r="Q593" s="425" t="s">
        <v>748</v>
      </c>
      <c r="R593" s="425">
        <v>161</v>
      </c>
    </row>
    <row r="594" spans="1:18" s="9" customFormat="1" ht="20.100000000000001" customHeight="1" x14ac:dyDescent="0.2">
      <c r="A594" s="428" t="s">
        <v>735</v>
      </c>
      <c r="B594" s="429" t="s">
        <v>220</v>
      </c>
      <c r="C594" s="429">
        <v>3</v>
      </c>
      <c r="D594" s="432">
        <v>2</v>
      </c>
      <c r="E594" s="429" t="s">
        <v>306</v>
      </c>
      <c r="F594" s="429" t="s">
        <v>359</v>
      </c>
      <c r="G594" s="429" t="s">
        <v>217</v>
      </c>
      <c r="H594" s="429" t="s">
        <v>75</v>
      </c>
      <c r="I594" s="429" t="s">
        <v>383</v>
      </c>
      <c r="J594" s="429" t="s">
        <v>313</v>
      </c>
      <c r="K594" s="424" t="str">
        <f>IF(O594="Zauberspruch",L594,O594)</f>
        <v>Erschaffen</v>
      </c>
      <c r="L594" s="424" t="s">
        <v>145</v>
      </c>
      <c r="M594" s="428" t="s">
        <v>322</v>
      </c>
      <c r="N594" s="428" t="s">
        <v>314</v>
      </c>
      <c r="O594" s="424" t="s">
        <v>166</v>
      </c>
      <c r="P594" s="1232" t="s">
        <v>736</v>
      </c>
      <c r="Q594" s="425" t="s">
        <v>748</v>
      </c>
      <c r="R594" s="425">
        <v>132</v>
      </c>
    </row>
    <row r="595" spans="1:18" s="9" customFormat="1" ht="20.100000000000001" customHeight="1" x14ac:dyDescent="0.2">
      <c r="A595" s="428" t="s">
        <v>1595</v>
      </c>
      <c r="B595" s="429" t="s">
        <v>219</v>
      </c>
      <c r="C595" s="429">
        <v>3</v>
      </c>
      <c r="D595" s="432">
        <v>2</v>
      </c>
      <c r="E595" s="429" t="s">
        <v>304</v>
      </c>
      <c r="F595" s="429" t="s">
        <v>359</v>
      </c>
      <c r="G595" s="429" t="s">
        <v>217</v>
      </c>
      <c r="H595" s="429" t="s">
        <v>75</v>
      </c>
      <c r="I595" s="429" t="s">
        <v>383</v>
      </c>
      <c r="J595" s="429" t="s">
        <v>313</v>
      </c>
      <c r="K595" s="424" t="str">
        <f>IF(O595="Zauberspruch",L595,O595)</f>
        <v>Zaubersiegel</v>
      </c>
      <c r="L595" s="424" t="s">
        <v>145</v>
      </c>
      <c r="M595" s="428" t="s">
        <v>322</v>
      </c>
      <c r="N595" s="428" t="s">
        <v>314</v>
      </c>
      <c r="O595" s="426" t="s">
        <v>1322</v>
      </c>
      <c r="P595" s="1232" t="s">
        <v>1500</v>
      </c>
      <c r="Q595" s="425" t="s">
        <v>1321</v>
      </c>
      <c r="R595" s="425">
        <v>66</v>
      </c>
    </row>
    <row r="596" spans="1:18" s="9" customFormat="1" ht="20.100000000000001" customHeight="1" x14ac:dyDescent="0.2">
      <c r="A596" s="428" t="s">
        <v>737</v>
      </c>
      <c r="B596" s="429" t="s">
        <v>220</v>
      </c>
      <c r="C596" s="429">
        <v>12</v>
      </c>
      <c r="D596" s="432">
        <v>9</v>
      </c>
      <c r="E596" s="429" t="s">
        <v>738</v>
      </c>
      <c r="F596" s="429" t="s">
        <v>359</v>
      </c>
      <c r="G596" s="429" t="s">
        <v>215</v>
      </c>
      <c r="H596" s="429" t="s">
        <v>780</v>
      </c>
      <c r="I596" s="429" t="s">
        <v>299</v>
      </c>
      <c r="J596" s="429" t="s">
        <v>313</v>
      </c>
      <c r="K596" s="424" t="str">
        <f>IF(O596="Zauberspruch",L596,O596)</f>
        <v>Beherrschen</v>
      </c>
      <c r="L596" s="424" t="s">
        <v>137</v>
      </c>
      <c r="M596" s="428" t="s">
        <v>322</v>
      </c>
      <c r="N596" s="428" t="s">
        <v>308</v>
      </c>
      <c r="O596" s="424" t="s">
        <v>166</v>
      </c>
      <c r="P596" s="1232" t="s">
        <v>739</v>
      </c>
      <c r="Q596" s="425" t="s">
        <v>748</v>
      </c>
      <c r="R596" s="425">
        <v>133</v>
      </c>
    </row>
    <row r="597" spans="1:18" s="9" customFormat="1" ht="20.100000000000001" customHeight="1" x14ac:dyDescent="0.2">
      <c r="A597" s="428" t="s">
        <v>1435</v>
      </c>
      <c r="B597" s="429" t="s">
        <v>220</v>
      </c>
      <c r="C597" s="429">
        <v>1</v>
      </c>
      <c r="D597" s="432">
        <v>1</v>
      </c>
      <c r="E597" s="429" t="s">
        <v>306</v>
      </c>
      <c r="F597" s="429" t="s">
        <v>25</v>
      </c>
      <c r="G597" s="429" t="s">
        <v>216</v>
      </c>
      <c r="H597" s="429" t="s">
        <v>770</v>
      </c>
      <c r="I597" s="429">
        <v>0</v>
      </c>
      <c r="J597" s="429" t="s">
        <v>313</v>
      </c>
      <c r="K597" s="424" t="str">
        <f>IF(O597="Zauberspruch",L597,O597)</f>
        <v>Thaumatherapie</v>
      </c>
      <c r="L597" s="424" t="s">
        <v>143</v>
      </c>
      <c r="M597" s="428" t="s">
        <v>322</v>
      </c>
      <c r="N597" s="428" t="s">
        <v>302</v>
      </c>
      <c r="O597" s="426" t="s">
        <v>1340</v>
      </c>
      <c r="P597" s="1232" t="s">
        <v>75</v>
      </c>
      <c r="Q597" s="425" t="s">
        <v>1321</v>
      </c>
      <c r="R597" s="425">
        <v>91</v>
      </c>
    </row>
    <row r="598" spans="1:18" s="9" customFormat="1" ht="20.100000000000001" customHeight="1" x14ac:dyDescent="0.2">
      <c r="A598" s="428" t="s">
        <v>740</v>
      </c>
      <c r="B598" s="429" t="s">
        <v>220</v>
      </c>
      <c r="C598" s="429">
        <v>7</v>
      </c>
      <c r="D598" s="432">
        <v>4</v>
      </c>
      <c r="E598" s="429" t="s">
        <v>347</v>
      </c>
      <c r="F598" s="429" t="s">
        <v>75</v>
      </c>
      <c r="G598" s="429" t="s">
        <v>215</v>
      </c>
      <c r="H598" s="429" t="s">
        <v>791</v>
      </c>
      <c r="I598" s="429" t="s">
        <v>299</v>
      </c>
      <c r="J598" s="429" t="s">
        <v>313</v>
      </c>
      <c r="K598" s="424" t="str">
        <f>IF(O598="Zauberspruch",L598,O598)</f>
        <v>Erkennen</v>
      </c>
      <c r="L598" s="424" t="s">
        <v>143</v>
      </c>
      <c r="M598" s="428" t="s">
        <v>314</v>
      </c>
      <c r="N598" s="428" t="s">
        <v>314</v>
      </c>
      <c r="O598" s="424" t="s">
        <v>166</v>
      </c>
      <c r="P598" s="1232" t="s">
        <v>741</v>
      </c>
      <c r="Q598" s="425" t="s">
        <v>748</v>
      </c>
      <c r="R598" s="425">
        <v>133</v>
      </c>
    </row>
    <row r="599" spans="1:18" s="9" customFormat="1" ht="20.100000000000001" customHeight="1" x14ac:dyDescent="0.2">
      <c r="A599" s="428" t="s">
        <v>742</v>
      </c>
      <c r="B599" s="429" t="s">
        <v>220</v>
      </c>
      <c r="C599" s="429">
        <v>8</v>
      </c>
      <c r="D599" s="429">
        <v>6</v>
      </c>
      <c r="E599" s="429" t="s">
        <v>354</v>
      </c>
      <c r="F599" s="429">
        <v>0</v>
      </c>
      <c r="G599" s="429" t="s">
        <v>216</v>
      </c>
      <c r="H599" s="429" t="s">
        <v>768</v>
      </c>
      <c r="I599" s="429" t="s">
        <v>306</v>
      </c>
      <c r="J599" s="429" t="s">
        <v>307</v>
      </c>
      <c r="K599" s="424" t="str">
        <f>IF(O599="Zauberspruch",L599,O599)</f>
        <v>Dweomer</v>
      </c>
      <c r="L599" s="424" t="s">
        <v>141</v>
      </c>
      <c r="M599" s="424" t="s">
        <v>301</v>
      </c>
      <c r="N599" s="424" t="s">
        <v>329</v>
      </c>
      <c r="O599" s="427" t="s">
        <v>146</v>
      </c>
      <c r="P599" s="1233" t="s">
        <v>75</v>
      </c>
      <c r="Q599" s="425" t="s">
        <v>748</v>
      </c>
      <c r="R599" s="425">
        <v>162</v>
      </c>
    </row>
    <row r="600" spans="1:18" s="9" customFormat="1" ht="20.100000000000001" customHeight="1" x14ac:dyDescent="0.2">
      <c r="A600" s="428" t="s">
        <v>1851</v>
      </c>
      <c r="B600" s="429" t="s">
        <v>220</v>
      </c>
      <c r="C600" s="429">
        <v>11</v>
      </c>
      <c r="D600" s="429">
        <v>18</v>
      </c>
      <c r="E600" s="429" t="s">
        <v>299</v>
      </c>
      <c r="F600" s="429" t="s">
        <v>321</v>
      </c>
      <c r="G600" s="429" t="s">
        <v>217</v>
      </c>
      <c r="H600" s="429" t="s">
        <v>782</v>
      </c>
      <c r="I600" s="429" t="s">
        <v>369</v>
      </c>
      <c r="J600" s="429" t="s">
        <v>307</v>
      </c>
      <c r="K600" s="424" t="str">
        <f>IF(O600="Zauberspruch",L600,O600)</f>
        <v>Dweomer</v>
      </c>
      <c r="L600" s="424" t="s">
        <v>141</v>
      </c>
      <c r="M600" s="424" t="s">
        <v>301</v>
      </c>
      <c r="N600" s="424" t="s">
        <v>301</v>
      </c>
      <c r="O600" s="427" t="s">
        <v>146</v>
      </c>
      <c r="P600" s="427" t="s">
        <v>75</v>
      </c>
      <c r="Q600" s="425" t="s">
        <v>1872</v>
      </c>
      <c r="R600" s="425">
        <v>24</v>
      </c>
    </row>
    <row r="601" spans="1:18" s="9" customFormat="1" ht="20.100000000000001" customHeight="1" x14ac:dyDescent="0.2">
      <c r="A601" s="428" t="s">
        <v>743</v>
      </c>
      <c r="B601" s="429" t="s">
        <v>220</v>
      </c>
      <c r="C601" s="429">
        <v>5</v>
      </c>
      <c r="D601" s="432">
        <v>2</v>
      </c>
      <c r="E601" s="429" t="s">
        <v>311</v>
      </c>
      <c r="F601" s="429" t="s">
        <v>25</v>
      </c>
      <c r="G601" s="429" t="s">
        <v>217</v>
      </c>
      <c r="H601" s="429" t="s">
        <v>774</v>
      </c>
      <c r="I601" s="429" t="s">
        <v>306</v>
      </c>
      <c r="J601" s="429" t="s">
        <v>307</v>
      </c>
      <c r="K601" s="424" t="str">
        <f>IF(O601="Zauberspruch",L601,O601)</f>
        <v>Formen</v>
      </c>
      <c r="L601" s="424" t="s">
        <v>148</v>
      </c>
      <c r="M601" s="428" t="s">
        <v>314</v>
      </c>
      <c r="N601" s="428" t="s">
        <v>301</v>
      </c>
      <c r="O601" s="424" t="s">
        <v>166</v>
      </c>
      <c r="P601" s="1232" t="s">
        <v>75</v>
      </c>
      <c r="Q601" s="425" t="s">
        <v>748</v>
      </c>
      <c r="R601" s="425">
        <v>133</v>
      </c>
    </row>
    <row r="602" spans="1:18" s="9" customFormat="1" ht="20.100000000000001" customHeight="1" x14ac:dyDescent="0.2">
      <c r="A602" s="428" t="s">
        <v>1596</v>
      </c>
      <c r="B602" s="429" t="s">
        <v>219</v>
      </c>
      <c r="C602" s="429">
        <v>5</v>
      </c>
      <c r="D602" s="432">
        <v>2</v>
      </c>
      <c r="E602" s="429" t="s">
        <v>304</v>
      </c>
      <c r="F602" s="429" t="s">
        <v>25</v>
      </c>
      <c r="G602" s="429" t="s">
        <v>217</v>
      </c>
      <c r="H602" s="429" t="s">
        <v>774</v>
      </c>
      <c r="I602" s="429" t="s">
        <v>306</v>
      </c>
      <c r="J602" s="429" t="s">
        <v>307</v>
      </c>
      <c r="K602" s="424" t="str">
        <f>IF(O602="Zauberspruch",L602,O602)</f>
        <v>Zaubersiegel</v>
      </c>
      <c r="L602" s="424" t="s">
        <v>148</v>
      </c>
      <c r="M602" s="428" t="s">
        <v>314</v>
      </c>
      <c r="N602" s="428" t="s">
        <v>301</v>
      </c>
      <c r="O602" s="426" t="s">
        <v>1322</v>
      </c>
      <c r="P602" s="1232" t="s">
        <v>1597</v>
      </c>
      <c r="Q602" s="425" t="s">
        <v>1321</v>
      </c>
      <c r="R602" s="425">
        <v>66</v>
      </c>
    </row>
    <row r="603" spans="1:18" s="9" customFormat="1" ht="20.100000000000001" customHeight="1" x14ac:dyDescent="0.2">
      <c r="A603" s="428" t="s">
        <v>1646</v>
      </c>
      <c r="B603" s="429" t="s">
        <v>220</v>
      </c>
      <c r="C603" s="429">
        <v>5</v>
      </c>
      <c r="D603" s="432">
        <v>3</v>
      </c>
      <c r="E603" s="429" t="s">
        <v>299</v>
      </c>
      <c r="F603" s="429" t="s">
        <v>75</v>
      </c>
      <c r="G603" s="429" t="s">
        <v>217</v>
      </c>
      <c r="H603" s="429" t="s">
        <v>774</v>
      </c>
      <c r="I603" s="429" t="s">
        <v>299</v>
      </c>
      <c r="J603" s="429" t="s">
        <v>300</v>
      </c>
      <c r="K603" s="424" t="str">
        <f>IF(O603="Zauberspruch",L603,O603)</f>
        <v>Zauberrune</v>
      </c>
      <c r="L603" s="424" t="s">
        <v>140</v>
      </c>
      <c r="M603" s="428" t="s">
        <v>308</v>
      </c>
      <c r="N603" s="428" t="s">
        <v>319</v>
      </c>
      <c r="O603" s="426" t="s">
        <v>1601</v>
      </c>
      <c r="P603" s="1232" t="s">
        <v>1750</v>
      </c>
      <c r="Q603" s="425" t="s">
        <v>1321</v>
      </c>
      <c r="R603" s="425">
        <v>81</v>
      </c>
    </row>
    <row r="604" spans="1:18" s="9" customFormat="1" ht="20.100000000000001" customHeight="1" x14ac:dyDescent="0.2">
      <c r="A604" s="428" t="s">
        <v>1469</v>
      </c>
      <c r="B604" s="429" t="s">
        <v>218</v>
      </c>
      <c r="C604" s="429">
        <v>2</v>
      </c>
      <c r="D604" s="432">
        <v>1</v>
      </c>
      <c r="E604" s="429" t="s">
        <v>304</v>
      </c>
      <c r="F604" s="429" t="s">
        <v>472</v>
      </c>
      <c r="G604" s="429" t="s">
        <v>217</v>
      </c>
      <c r="H604" s="429" t="s">
        <v>774</v>
      </c>
      <c r="I604" s="429">
        <v>0</v>
      </c>
      <c r="J604" s="429" t="s">
        <v>313</v>
      </c>
      <c r="K604" s="424" t="str">
        <f>IF(O604="Zauberspruch",L604,O604)</f>
        <v>Zaubersalz</v>
      </c>
      <c r="L604" s="424" t="s">
        <v>1470</v>
      </c>
      <c r="M604" s="428" t="s">
        <v>308</v>
      </c>
      <c r="N604" s="428" t="s">
        <v>308</v>
      </c>
      <c r="O604" s="426" t="s">
        <v>1439</v>
      </c>
      <c r="P604" s="1232" t="s">
        <v>1706</v>
      </c>
      <c r="Q604" s="425" t="s">
        <v>1321</v>
      </c>
      <c r="R604" s="425">
        <v>50</v>
      </c>
    </row>
    <row r="605" spans="1:18" s="9" customFormat="1" ht="20.100000000000001" customHeight="1" x14ac:dyDescent="0.2">
      <c r="A605" s="428" t="s">
        <v>744</v>
      </c>
      <c r="B605" s="429" t="s">
        <v>218</v>
      </c>
      <c r="C605" s="429">
        <v>8</v>
      </c>
      <c r="D605" s="432" t="s">
        <v>397</v>
      </c>
      <c r="E605" s="429" t="s">
        <v>304</v>
      </c>
      <c r="F605" s="429" t="s">
        <v>75</v>
      </c>
      <c r="G605" s="429" t="s">
        <v>216</v>
      </c>
      <c r="H605" s="429" t="s">
        <v>791</v>
      </c>
      <c r="I605" s="429" t="s">
        <v>306</v>
      </c>
      <c r="J605" s="429" t="s">
        <v>313</v>
      </c>
      <c r="K605" s="424" t="str">
        <f>IF(O605="Zauberspruch",L605,O605)</f>
        <v>Zerstören</v>
      </c>
      <c r="L605" s="424" t="s">
        <v>141</v>
      </c>
      <c r="M605" s="428" t="s">
        <v>302</v>
      </c>
      <c r="N605" s="428" t="s">
        <v>322</v>
      </c>
      <c r="O605" s="424" t="s">
        <v>166</v>
      </c>
      <c r="P605" s="1232" t="s">
        <v>75</v>
      </c>
      <c r="Q605" s="425" t="s">
        <v>748</v>
      </c>
      <c r="R605" s="425">
        <v>133</v>
      </c>
    </row>
    <row r="606" spans="1:18" s="9" customFormat="1" ht="20.100000000000001" customHeight="1" x14ac:dyDescent="0.2">
      <c r="A606" s="428" t="s">
        <v>745</v>
      </c>
      <c r="B606" s="429" t="s">
        <v>219</v>
      </c>
      <c r="C606" s="429">
        <v>2</v>
      </c>
      <c r="D606" s="432">
        <v>1</v>
      </c>
      <c r="E606" s="429" t="s">
        <v>304</v>
      </c>
      <c r="F606" s="429" t="s">
        <v>472</v>
      </c>
      <c r="G606" s="429" t="s">
        <v>216</v>
      </c>
      <c r="H606" s="429" t="s">
        <v>791</v>
      </c>
      <c r="I606" s="429" t="s">
        <v>439</v>
      </c>
      <c r="J606" s="429" t="s">
        <v>313</v>
      </c>
      <c r="K606" s="424" t="str">
        <f>IF(O606="Zauberspruch",L606,O606)</f>
        <v>Erkennen</v>
      </c>
      <c r="L606" s="424" t="s">
        <v>143</v>
      </c>
      <c r="M606" s="428" t="s">
        <v>308</v>
      </c>
      <c r="N606" s="428" t="s">
        <v>314</v>
      </c>
      <c r="O606" s="424" t="s">
        <v>166</v>
      </c>
      <c r="P606" s="1232" t="s">
        <v>75</v>
      </c>
      <c r="Q606" s="425" t="s">
        <v>748</v>
      </c>
      <c r="R606" s="425">
        <v>134</v>
      </c>
    </row>
    <row r="607" spans="1:18" s="9" customFormat="1" ht="20.100000000000001" customHeight="1" x14ac:dyDescent="0.2">
      <c r="A607" s="428" t="s">
        <v>1598</v>
      </c>
      <c r="B607" s="429" t="s">
        <v>219</v>
      </c>
      <c r="C607" s="429">
        <v>2</v>
      </c>
      <c r="D607" s="432">
        <v>1</v>
      </c>
      <c r="E607" s="429" t="s">
        <v>304</v>
      </c>
      <c r="F607" s="429" t="s">
        <v>472</v>
      </c>
      <c r="G607" s="429" t="s">
        <v>216</v>
      </c>
      <c r="H607" s="429" t="s">
        <v>770</v>
      </c>
      <c r="I607" s="429" t="s">
        <v>439</v>
      </c>
      <c r="J607" s="429" t="s">
        <v>313</v>
      </c>
      <c r="K607" s="424" t="str">
        <f>IF(O607="Zauberspruch",L607,O607)</f>
        <v>Zaubersiegel</v>
      </c>
      <c r="L607" s="424" t="s">
        <v>143</v>
      </c>
      <c r="M607" s="428" t="s">
        <v>308</v>
      </c>
      <c r="N607" s="428" t="s">
        <v>314</v>
      </c>
      <c r="O607" s="426" t="s">
        <v>1322</v>
      </c>
      <c r="P607" s="1232" t="s">
        <v>1705</v>
      </c>
      <c r="Q607" s="425" t="s">
        <v>1321</v>
      </c>
      <c r="R607" s="425">
        <v>134</v>
      </c>
    </row>
  </sheetData>
  <sheetProtection password="D5DE" sheet="1" objects="1" scenarios="1" selectLockedCells="1" selectUnlockedCells="1"/>
  <sortState ref="A2:S607">
    <sortCondition ref="A2:A60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102</vt:i4>
      </vt:variant>
    </vt:vector>
  </HeadingPairs>
  <TitlesOfParts>
    <vt:vector size="115" baseType="lpstr">
      <vt:lpstr>Vorderseite</vt:lpstr>
      <vt:lpstr>Rückseite</vt:lpstr>
      <vt:lpstr>Ausrüstung</vt:lpstr>
      <vt:lpstr>Zauber</vt:lpstr>
      <vt:lpstr>Beschreibung</vt:lpstr>
      <vt:lpstr>Tiere</vt:lpstr>
      <vt:lpstr>Lernen</vt:lpstr>
      <vt:lpstr>Notizzettel</vt:lpstr>
      <vt:lpstr>Zauberliste</vt:lpstr>
      <vt:lpstr>Waffenliste</vt:lpstr>
      <vt:lpstr>Notizen</vt:lpstr>
      <vt:lpstr>Erschaffungshilfe</vt:lpstr>
      <vt:lpstr>Anleitung</vt:lpstr>
      <vt:lpstr>AbB</vt:lpstr>
      <vt:lpstr>Abwehr</vt:lpstr>
      <vt:lpstr>AbwResiFW</vt:lpstr>
      <vt:lpstr>Alter</vt:lpstr>
      <vt:lpstr>AnB</vt:lpstr>
      <vt:lpstr>AP</vt:lpstr>
      <vt:lpstr>APB</vt:lpstr>
      <vt:lpstr>Athletik</vt:lpstr>
      <vt:lpstr>Au</vt:lpstr>
      <vt:lpstr>AuB</vt:lpstr>
      <vt:lpstr>BAusrüstung</vt:lpstr>
      <vt:lpstr>BErschaffung</vt:lpstr>
      <vt:lpstr>BLaufen</vt:lpstr>
      <vt:lpstr>BRasse</vt:lpstr>
      <vt:lpstr>BRüstung</vt:lpstr>
      <vt:lpstr>Lernen!Druckbereich</vt:lpstr>
      <vt:lpstr>Lernen!Drucktitel</vt:lpstr>
      <vt:lpstr>Zauber!Drucktitel</vt:lpstr>
      <vt:lpstr>EigBonus</vt:lpstr>
      <vt:lpstr>EPTabelle</vt:lpstr>
      <vt:lpstr>GB</vt:lpstr>
      <vt:lpstr>Gelände</vt:lpstr>
      <vt:lpstr>GeländeListe</vt:lpstr>
      <vt:lpstr>Geschlecht</vt:lpstr>
      <vt:lpstr>GeschlechtListe</vt:lpstr>
      <vt:lpstr>Gewicht</vt:lpstr>
      <vt:lpstr>Gewichtsbelastung</vt:lpstr>
      <vt:lpstr>GG</vt:lpstr>
      <vt:lpstr>GiftT</vt:lpstr>
      <vt:lpstr>Grad</vt:lpstr>
      <vt:lpstr>Groesse</vt:lpstr>
      <vt:lpstr>Größe</vt:lpstr>
      <vt:lpstr>Gs</vt:lpstr>
      <vt:lpstr>GsB</vt:lpstr>
      <vt:lpstr>Gw</vt:lpstr>
      <vt:lpstr>GwB</vt:lpstr>
      <vt:lpstr>Händigkeit</vt:lpstr>
      <vt:lpstr>Heimat</vt:lpstr>
      <vt:lpstr>Höchstlast</vt:lpstr>
      <vt:lpstr>In</vt:lpstr>
      <vt:lpstr>InB</vt:lpstr>
      <vt:lpstr>KAW</vt:lpstr>
      <vt:lpstr>Ko</vt:lpstr>
      <vt:lpstr>KoB</vt:lpstr>
      <vt:lpstr>Land</vt:lpstr>
      <vt:lpstr>LandSprache</vt:lpstr>
      <vt:lpstr>Last</vt:lpstr>
      <vt:lpstr>Laufen</vt:lpstr>
      <vt:lpstr>Lerneinheiten</vt:lpstr>
      <vt:lpstr>LP</vt:lpstr>
      <vt:lpstr>MagischeStärke</vt:lpstr>
      <vt:lpstr>Name</vt:lpstr>
      <vt:lpstr>Normallast</vt:lpstr>
      <vt:lpstr>pA</vt:lpstr>
      <vt:lpstr>pAB</vt:lpstr>
      <vt:lpstr>phsB</vt:lpstr>
      <vt:lpstr>phsR</vt:lpstr>
      <vt:lpstr>psyB</vt:lpstr>
      <vt:lpstr>psyR</vt:lpstr>
      <vt:lpstr>Rasse</vt:lpstr>
      <vt:lpstr>Rasse_weiblich</vt:lpstr>
      <vt:lpstr>RasseListe</vt:lpstr>
      <vt:lpstr>RK</vt:lpstr>
      <vt:lpstr>RKListe</vt:lpstr>
      <vt:lpstr>SchB</vt:lpstr>
      <vt:lpstr>Schublast</vt:lpstr>
      <vt:lpstr>schwereLast</vt:lpstr>
      <vt:lpstr>SG</vt:lpstr>
      <vt:lpstr>Spezialwaffen</vt:lpstr>
      <vt:lpstr>SpezMagier</vt:lpstr>
      <vt:lpstr>SpezWaffe1</vt:lpstr>
      <vt:lpstr>SpezWaffe2</vt:lpstr>
      <vt:lpstr>SpezWaffe3</vt:lpstr>
      <vt:lpstr>Spieler</vt:lpstr>
      <vt:lpstr>St</vt:lpstr>
      <vt:lpstr>Stand</vt:lpstr>
      <vt:lpstr>StandListe</vt:lpstr>
      <vt:lpstr>StandMod</vt:lpstr>
      <vt:lpstr>StB</vt:lpstr>
      <vt:lpstr>Totem</vt:lpstr>
      <vt:lpstr>Traglast</vt:lpstr>
      <vt:lpstr>Typ</vt:lpstr>
      <vt:lpstr>Typ_Abkz</vt:lpstr>
      <vt:lpstr>Typ_weiblich</vt:lpstr>
      <vt:lpstr>TypKämZau</vt:lpstr>
      <vt:lpstr>TypListe</vt:lpstr>
      <vt:lpstr>Typvoll</vt:lpstr>
      <vt:lpstr>Verteidigungswaffen</vt:lpstr>
      <vt:lpstr>Waffen</vt:lpstr>
      <vt:lpstr>Waffengruppe</vt:lpstr>
      <vt:lpstr>Waffengruppe_gelernt</vt:lpstr>
      <vt:lpstr>Waffenliste</vt:lpstr>
      <vt:lpstr>Wk</vt:lpstr>
      <vt:lpstr>WkB</vt:lpstr>
      <vt:lpstr>ZauB</vt:lpstr>
      <vt:lpstr>Zauber</vt:lpstr>
      <vt:lpstr>Zauberliste</vt:lpstr>
      <vt:lpstr>Zaubern</vt:lpstr>
      <vt:lpstr>ZaubFW</vt:lpstr>
      <vt:lpstr>ZauProzess</vt:lpstr>
      <vt:lpstr>Zt</vt:lpstr>
      <vt:lpstr>ZtB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Charakterbogen M5</dc:title>
  <dc:subject>Midgard</dc:subject>
  <dc:creator>Shadow</dc:creator>
  <cp:keywords>Rollenspiel</cp:keywords>
  <cp:lastModifiedBy>j.burkhard</cp:lastModifiedBy>
  <cp:lastPrinted>2015-05-27T12:44:41Z</cp:lastPrinted>
  <dcterms:created xsi:type="dcterms:W3CDTF">2013-11-25T07:05:36Z</dcterms:created>
  <dcterms:modified xsi:type="dcterms:W3CDTF">2015-05-27T12:46:44Z</dcterms:modified>
</cp:coreProperties>
</file>